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1_WholeMuscle_Tumbled/A_Online-Versionen/PRE/"/>
    </mc:Choice>
  </mc:AlternateContent>
  <xr:revisionPtr revIDLastSave="0" documentId="13_ncr:1_{54C8D035-387B-6F4D-81E1-8B6FDB44D2DB}" xr6:coauthVersionLast="47" xr6:coauthVersionMax="47" xr10:uidLastSave="{00000000-0000-0000-0000-000000000000}"/>
  <workbookProtection workbookAlgorithmName="SHA-512" workbookHashValue="mQZ3zPrenk4O/5ZWI0QAwMeoxNOOPYuKDoLfTE0Fa2yILXaZA7n9PMR5LX6cW5n49ZhIhwb+QQsSz6Yi8Jau0w==" workbookSaltValue="ukJ1XE2e0RUpM2M7dgaIKw=="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'Tumbler-Recipe'!$B$19</definedName>
    <definedName name="Artikelnummer4">'Tumbler-Recipe'!$B$20</definedName>
    <definedName name="Artikelnummer5">'Tumbler-Recipe'!#REF!</definedName>
    <definedName name="Artikelnummer6">'Tumbler-Recipe'!$B$21</definedName>
    <definedName name="Artikelnummer8">'Tumbler-Recipe'!$B$17</definedName>
    <definedName name="Artikelnummer9">'Tumbler-Recipe'!$B$18</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'Brine-Calculator'!$B$1:$M$18</definedName>
    <definedName name="_xlnm.Print_Area" localSheetId="0">'Tumbler-Recipe'!$B$1:$N$77</definedName>
    <definedName name="Druckbereich2">'Tumbler-Recipe'!$B$1:$N$77</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'Tumbler-Recipe'!#REF!,'Tumbler-Recipe'!$M$15:$M$19</definedName>
    <definedName name="ISP">#REF!</definedName>
    <definedName name="Links">Functions!$G$1:$G$4</definedName>
    <definedName name="MandatoryIngredients">'Tumbler-Recipe'!$M$15:$M$19</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'Tumbler-Recipe'!$M$19</definedName>
    <definedName name="Menge4">'Tumbler-Recipe'!$M$20</definedName>
    <definedName name="Menge5">'Tumbler-Recipe'!#REF!</definedName>
    <definedName name="Menge6">'Tumbler-Recipe'!$M$21</definedName>
    <definedName name="Menge8">'Tumbler-Recipe'!$M$17</definedName>
    <definedName name="Menge9">'Tumbler-Recipe'!$M$18</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'Tumbler-Recipe'!$T$22</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0" i="7" l="1"/>
  <c r="E30" i="7"/>
  <c r="D30" i="7"/>
  <c r="M21" i="7"/>
  <c r="M17" i="7"/>
  <c r="B13" i="8"/>
  <c r="E13" i="8" s="1"/>
  <c r="M18" i="7"/>
  <c r="B12" i="8"/>
  <c r="E12" i="8" s="1"/>
  <c r="R12" i="8" s="1"/>
  <c r="L12" i="8" s="1"/>
  <c r="B14" i="8"/>
  <c r="E14" i="8" s="1"/>
  <c r="M19" i="7"/>
  <c r="T19" i="7" s="1"/>
  <c r="B15" i="8"/>
  <c r="D15" i="8"/>
  <c r="E15" i="8"/>
  <c r="M20" i="7"/>
  <c r="T20" i="7" s="1"/>
  <c r="T18" i="7"/>
  <c r="O18" i="7"/>
  <c r="Q18" i="7" s="1"/>
  <c r="R18" i="7" s="1"/>
  <c r="P18" i="7"/>
  <c r="N18" i="7"/>
  <c r="T17" i="7"/>
  <c r="T21" i="7"/>
  <c r="M15" i="7"/>
  <c r="T15" i="7" s="1"/>
  <c r="E18" i="7"/>
  <c r="D18" i="7"/>
  <c r="O17" i="7"/>
  <c r="Q17" i="7" s="1"/>
  <c r="R17" i="7" s="1"/>
  <c r="P17" i="7"/>
  <c r="N17" i="7"/>
  <c r="E17" i="7"/>
  <c r="D17" i="7"/>
  <c r="I10" i="7"/>
  <c r="D20" i="7"/>
  <c r="E20" i="7"/>
  <c r="O20" i="7"/>
  <c r="D19" i="7"/>
  <c r="E19" i="7"/>
  <c r="O19" i="7"/>
  <c r="Q19" i="7" s="1"/>
  <c r="R19" i="7" s="1"/>
  <c r="B16" i="8"/>
  <c r="E16" i="8" s="1"/>
  <c r="R16" i="8" s="1"/>
  <c r="L16" i="8" s="1"/>
  <c r="B11" i="8"/>
  <c r="E11" i="8"/>
  <c r="B10" i="8"/>
  <c r="D10" i="8" s="1"/>
  <c r="E28" i="7"/>
  <c r="D28" i="7"/>
  <c r="E27" i="7"/>
  <c r="D27" i="7"/>
  <c r="E29" i="7"/>
  <c r="D29" i="7"/>
  <c r="D26" i="7"/>
  <c r="E26" i="7"/>
  <c r="N21" i="7"/>
  <c r="E10" i="8"/>
  <c r="D11" i="8"/>
  <c r="D16" i="8"/>
  <c r="O8" i="8"/>
  <c r="B8" i="8"/>
  <c r="O18" i="8"/>
  <c r="O15" i="7"/>
  <c r="P15" i="7" s="1"/>
  <c r="Q9" i="7"/>
  <c r="B9" i="7"/>
  <c r="B12" i="7"/>
  <c r="P23" i="7"/>
  <c r="O16" i="7"/>
  <c r="P16" i="7"/>
  <c r="O21" i="7"/>
  <c r="Q21" i="7" s="1"/>
  <c r="R21" i="7" s="1"/>
  <c r="P12" i="7"/>
  <c r="E21" i="7"/>
  <c r="D21" i="7"/>
  <c r="D15" i="7"/>
  <c r="D16" i="7"/>
  <c r="E16" i="7"/>
  <c r="E15" i="7"/>
  <c r="P9" i="7"/>
  <c r="P21" i="7"/>
  <c r="R9" i="7"/>
  <c r="P19" i="7" l="1"/>
  <c r="D14" i="8"/>
  <c r="Q15" i="7"/>
  <c r="R15" i="7" s="1"/>
  <c r="R10" i="8"/>
  <c r="L10" i="8" s="1"/>
  <c r="N19" i="7"/>
  <c r="N20" i="7"/>
  <c r="R13" i="8"/>
  <c r="L13" i="8" s="1"/>
  <c r="N15" i="7"/>
  <c r="Q20" i="7"/>
  <c r="R20" i="7" s="1"/>
  <c r="T22" i="7"/>
  <c r="M16" i="7" s="1"/>
  <c r="Q16" i="7" s="1"/>
  <c r="R15" i="8" a="1"/>
  <c r="R15" i="8" s="1"/>
  <c r="L15" i="8" s="1"/>
  <c r="M15" i="8" s="1"/>
  <c r="R14" i="8"/>
  <c r="L14" i="8" s="1"/>
  <c r="K14" i="8" s="1"/>
  <c r="P13" i="7"/>
  <c r="P22" i="7"/>
  <c r="R22" i="7"/>
  <c r="R13" i="7"/>
  <c r="R23" i="7"/>
  <c r="N12" i="8"/>
  <c r="M12" i="8"/>
  <c r="K12" i="8"/>
  <c r="K15" i="8"/>
  <c r="N16" i="8"/>
  <c r="K16" i="8"/>
  <c r="M16" i="8"/>
  <c r="N13" i="8"/>
  <c r="M13" i="8"/>
  <c r="K13" i="8"/>
  <c r="P20" i="7"/>
  <c r="D12" i="8"/>
  <c r="D13" i="8"/>
  <c r="N15" i="8" l="1"/>
  <c r="M14" i="8"/>
  <c r="N14" i="8"/>
  <c r="O14" i="8" s="1"/>
  <c r="M22" i="7"/>
  <c r="R16" i="7"/>
  <c r="Q22" i="7"/>
  <c r="M12" i="7"/>
  <c r="M13" i="7" s="1"/>
  <c r="R11" i="8"/>
  <c r="L11" i="8" s="1"/>
  <c r="M11" i="8" s="1"/>
  <c r="N16" i="7"/>
  <c r="N10" i="8"/>
  <c r="K10" i="8"/>
  <c r="M10" i="8"/>
  <c r="K12" i="7"/>
  <c r="Q12" i="7"/>
  <c r="O15" i="8"/>
  <c r="P15" i="8"/>
  <c r="Q15" i="8" s="1"/>
  <c r="O12" i="8"/>
  <c r="P12" i="8"/>
  <c r="Q12" i="8" s="1"/>
  <c r="O16" i="8"/>
  <c r="P16" i="8"/>
  <c r="Q16" i="8" s="1"/>
  <c r="O13" i="8"/>
  <c r="P13" i="8"/>
  <c r="Q13" i="8" s="1"/>
  <c r="K11" i="8" l="1"/>
  <c r="P14" i="8"/>
  <c r="Q14" i="8" s="1"/>
  <c r="N11" i="8"/>
  <c r="P11" i="8" s="1"/>
  <c r="K22" i="7"/>
  <c r="L17" i="8"/>
  <c r="K17" i="8" s="1"/>
  <c r="K8" i="8"/>
  <c r="L8" i="8" s="1"/>
  <c r="O22" i="7"/>
  <c r="P10" i="8"/>
  <c r="Q10" i="8" s="1"/>
  <c r="O10" i="8"/>
  <c r="N12" i="7"/>
  <c r="P8" i="8"/>
  <c r="Q8" i="8" s="1"/>
  <c r="M8" i="8"/>
  <c r="Q13" i="7"/>
  <c r="R12" i="7"/>
  <c r="K13" i="7"/>
  <c r="K23" i="7"/>
  <c r="K15" i="7"/>
  <c r="K16" i="7"/>
  <c r="K18" i="8" l="1"/>
  <c r="O11" i="8"/>
  <c r="Q23" i="7"/>
  <c r="O23" i="7" s="1"/>
  <c r="O13" i="7"/>
  <c r="Q11" i="8"/>
  <c r="P17" i="8"/>
  <c r="N17" i="8" l="1"/>
  <c r="P18" i="8"/>
  <c r="N18"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<sst xmlns="http://schemas.openxmlformats.org/spreadsheetml/2006/main" count="5152" uniqueCount="3207">
  <si>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</si>
  <si>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</si>
  <si>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</si>
  <si>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</si>
  <si>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</si>
  <si>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</si>
  <si>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</si>
  <si>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</si>
  <si>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</si>
  <si>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</si>
  <si>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</si>
  <si>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</si>
  <si>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</si>
  <si>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</si>
  <si>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</si>
  <si>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</si>
  <si>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</si>
  <si>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</si>
  <si>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</si>
  <si>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</si>
  <si>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</si>
  <si>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</si>
  <si>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</si>
  <si>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</si>
  <si>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</si>
  <si>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</si>
  <si>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</si>
  <si>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</si>
  <si>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</si>
  <si>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</si>
  <si>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</si>
  <si>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</si>
  <si>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</si>
  <si>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</si>
  <si>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</si>
  <si>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</si>
  <si>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</si>
  <si>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</si>
  <si>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</si>
  <si>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</si>
  <si>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</si>
  <si>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</si>
  <si>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</si>
  <si>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</si>
  <si>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</si>
  <si>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</si>
  <si>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</si>
  <si>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</si>
  <si>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</si>
  <si>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</si>
  <si>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</si>
  <si>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</si>
  <si>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</si>
  <si>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</si>
  <si>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</si>
  <si>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</si>
  <si>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</si>
  <si>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</si>
  <si>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</si>
  <si>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</si>
  <si>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</si>
  <si>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</si>
  <si>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</si>
  <si>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</si>
  <si>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</si>
  <si>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</si>
  <si>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</si>
  <si>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</si>
  <si>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</si>
  <si>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</si>
  <si>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</si>
  <si>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</si>
  <si>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</si>
  <si>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</si>
  <si>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</si>
  <si>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</si>
  <si>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</si>
  <si>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</si>
  <si>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</si>
  <si>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</si>
  <si>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</si>
  <si>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</si>
  <si>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</si>
  <si>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</si>
  <si>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</si>
  <si>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</si>
  <si>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</si>
  <si>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</si>
  <si>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</si>
  <si>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</si>
  <si>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</si>
  <si>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</si>
  <si>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</si>
  <si>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</si>
  <si>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</si>
  <si>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</si>
  <si>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</si>
  <si>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</si>
  <si>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</si>
  <si>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</si>
  <si>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</si>
  <si>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</si>
  <si>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</si>
  <si>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</si>
  <si>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</si>
  <si>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</si>
  <si>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</si>
  <si>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</si>
  <si>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</si>
  <si>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</si>
  <si>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</si>
  <si>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</si>
  <si>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</si>
  <si>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</si>
  <si>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</si>
  <si>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</si>
  <si>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</si>
  <si>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</si>
  <si>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</si>
  <si>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</si>
  <si>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</si>
  <si>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</si>
  <si>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</si>
  <si>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</si>
  <si>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</si>
  <si>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</si>
  <si>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</si>
  <si>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</si>
  <si>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</si>
  <si>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</si>
  <si>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</si>
  <si>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</si>
  <si>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</si>
  <si>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</si>
  <si>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</si>
  <si>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</si>
  <si>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</si>
  <si>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</si>
  <si>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</si>
  <si>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</si>
  <si>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</si>
  <si>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</si>
  <si>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</si>
  <si>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</si>
  <si>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</si>
  <si>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</si>
  <si>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</si>
  <si>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</si>
  <si>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</si>
  <si>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</si>
  <si>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</si>
  <si>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</si>
  <si>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</si>
  <si>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</si>
  <si>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</si>
  <si>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</si>
  <si>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</si>
  <si>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</si>
  <si>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</si>
  <si>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</si>
  <si>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</si>
  <si>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</si>
  <si>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</si>
  <si>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</si>
  <si>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</si>
  <si>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</si>
  <si>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</si>
  <si>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</si>
  <si>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</si>
  <si>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</si>
  <si>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</si>
  <si>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</si>
  <si>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</si>
  <si>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</si>
  <si>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</si>
  <si>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</si>
  <si>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</si>
  <si>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</si>
  <si>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</si>
  <si>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</si>
  <si>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</si>
  <si>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</si>
  <si>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</si>
  <si>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</si>
  <si>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</si>
  <si>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</si>
  <si>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</si>
  <si>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</si>
  <si>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</si>
  <si>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</si>
  <si>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</si>
  <si>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</si>
  <si>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</si>
  <si>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</si>
  <si>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</si>
  <si>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</si>
  <si>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</si>
  <si>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</si>
  <si>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</si>
  <si>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</si>
  <si>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</si>
  <si>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</si>
  <si>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</si>
  <si>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</si>
  <si>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</si>
  <si>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</si>
  <si>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</si>
  <si>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</si>
  <si>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</si>
  <si>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</si>
  <si>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</si>
  <si>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</si>
  <si>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</si>
  <si>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</si>
  <si>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</si>
  <si>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</si>
  <si>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</si>
  <si>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</si>
  <si>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</si>
  <si>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</si>
  <si>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</si>
  <si>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</si>
  <si>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</si>
  <si>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</si>
  <si>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</si>
  <si>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</si>
  <si>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</si>
  <si>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</si>
  <si>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</si>
  <si>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</si>
  <si>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</si>
  <si>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</si>
  <si>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</si>
  <si>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</si>
  <si>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</si>
  <si>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</si>
  <si>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</si>
  <si>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</si>
  <si>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</si>
  <si>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</si>
  <si>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</si>
  <si>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</si>
  <si>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</si>
  <si>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</si>
  <si>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</si>
  <si>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</si>
  <si>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</si>
  <si>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</si>
  <si>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</si>
  <si>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</si>
  <si>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</si>
  <si>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</si>
  <si>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</si>
  <si>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</si>
  <si>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</si>
  <si>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</si>
  <si>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</si>
  <si>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</si>
  <si>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</si>
  <si>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</si>
  <si>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</si>
  <si>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</si>
  <si>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</si>
  <si>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</si>
  <si>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</si>
  <si>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</si>
  <si>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</si>
  <si>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</si>
  <si>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</si>
  <si>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</si>
  <si>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</si>
  <si>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</si>
  <si>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</si>
  <si>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</si>
  <si>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</si>
  <si>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</si>
  <si>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</si>
  <si>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</si>
  <si>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</si>
  <si>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</si>
  <si>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</si>
  <si>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</si>
  <si>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</si>
  <si>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</si>
  <si>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</si>
  <si>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</si>
  <si>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</si>
  <si>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</si>
  <si>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</si>
  <si>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</si>
  <si>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</si>
  <si>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</si>
  <si>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</si>
  <si>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</si>
  <si>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</si>
  <si>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</si>
  <si>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</si>
  <si>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</si>
  <si>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</si>
  <si>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</si>
  <si>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</si>
  <si>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</si>
  <si>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</si>
  <si>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</si>
  <si>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</si>
  <si>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</si>
  <si>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</si>
  <si>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</si>
  <si>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</si>
  <si>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</si>
  <si>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</si>
  <si>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</si>
  <si>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</si>
  <si>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</si>
  <si>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</si>
  <si>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</si>
  <si>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</si>
  <si>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</si>
  <si>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</si>
  <si>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</si>
  <si>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</si>
  <si>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</si>
  <si>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</si>
  <si>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</si>
  <si>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</si>
  <si>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</si>
  <si>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</si>
  <si>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</si>
  <si>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</si>
  <si>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</si>
  <si>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</si>
  <si>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</si>
  <si>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</si>
  <si>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</si>
  <si>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</si>
  <si>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</si>
  <si>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</si>
  <si>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</si>
  <si>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</si>
  <si>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</si>
  <si>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</si>
  <si>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</si>
  <si>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</si>
  <si>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</si>
  <si>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</si>
  <si>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</si>
  <si>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</si>
  <si>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</si>
  <si>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</si>
  <si>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</si>
  <si>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</si>
  <si>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</si>
  <si>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</si>
  <si>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</si>
  <si>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</si>
  <si>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</si>
  <si>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</si>
  <si>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</si>
  <si>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</si>
  <si>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</si>
  <si>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</si>
  <si>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</si>
  <si>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</si>
  <si>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</si>
  <si>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</si>
  <si>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</si>
  <si>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</si>
  <si>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</si>
  <si>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</si>
  <si>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</si>
  <si>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</si>
  <si>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</si>
  <si>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</si>
  <si>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</si>
  <si>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</si>
  <si>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</si>
  <si>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</si>
  <si>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</si>
  <si>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</si>
  <si>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</si>
  <si>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</si>
  <si>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</si>
  <si>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</si>
  <si>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</si>
  <si>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</si>
  <si>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</si>
  <si>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</si>
  <si>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</si>
  <si>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</si>
  <si>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</si>
  <si>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</si>
  <si>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</si>
  <si>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</si>
  <si>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</si>
  <si>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</si>
  <si>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</si>
  <si>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</si>
  <si>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</si>
  <si>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</si>
  <si>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</si>
  <si>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</si>
  <si>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</si>
  <si>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</si>
  <si>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</si>
  <si>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</si>
  <si>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</si>
  <si>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</si>
  <si>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</si>
  <si>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</si>
  <si>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</si>
  <si>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</si>
  <si>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</si>
  <si>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</si>
  <si>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</si>
  <si>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</si>
  <si>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</si>
  <si>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</si>
  <si>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</si>
  <si>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</si>
  <si>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</si>
  <si>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</si>
  <si>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</si>
  <si>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</si>
  <si>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</si>
  <si>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</si>
  <si>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</si>
  <si>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</si>
  <si>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</si>
  <si>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</si>
  <si>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</si>
  <si>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</si>
  <si>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</si>
  <si>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</si>
  <si>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</si>
  <si>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</si>
  <si>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</si>
  <si>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</si>
  <si>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</si>
  <si>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</si>
  <si>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</si>
  <si>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</si>
  <si>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</si>
  <si>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</si>
  <si>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</si>
  <si>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</si>
  <si>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</si>
  <si>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</si>
  <si>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</si>
  <si>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</si>
  <si>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</si>
  <si>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</si>
  <si>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</si>
  <si>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</si>
  <si>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</si>
  <si>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</si>
  <si>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</si>
  <si>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</si>
  <si>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</si>
  <si>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</si>
  <si>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</si>
  <si>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</si>
  <si>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</si>
  <si>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</si>
  <si>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</si>
  <si>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</si>
  <si>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</si>
  <si>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</si>
  <si>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</si>
  <si>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</si>
  <si>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</si>
  <si>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</si>
  <si>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</si>
  <si>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</si>
  <si>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</si>
  <si>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</si>
  <si>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</si>
  <si>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</si>
  <si>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</si>
  <si>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</si>
  <si>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</si>
  <si>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</si>
  <si>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</si>
  <si>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</si>
  <si>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</si>
  <si>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</si>
  <si>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</si>
  <si>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</si>
  <si>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</si>
  <si>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</si>
  <si>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</si>
  <si>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</si>
  <si>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</si>
  <si>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</si>
  <si>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</si>
  <si>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</si>
  <si>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</si>
  <si>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</si>
  <si>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</si>
  <si>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</si>
  <si>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</si>
  <si>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</si>
  <si>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</si>
  <si>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</si>
  <si>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</si>
  <si>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</si>
  <si>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</si>
  <si>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</si>
  <si>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</si>
  <si>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</si>
  <si>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</si>
  <si>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</si>
  <si>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</si>
  <si>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</si>
  <si>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</si>
  <si>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</si>
  <si>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</si>
  <si>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</si>
  <si>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</si>
  <si>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</si>
  <si>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</si>
  <si>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</si>
  <si>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</si>
  <si>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</si>
  <si>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</si>
  <si>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</si>
  <si>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</si>
  <si>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</si>
  <si>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</si>
  <si>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</si>
  <si>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</si>
  <si>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</si>
  <si>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</si>
  <si>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</si>
  <si>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</si>
  <si>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</si>
  <si>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</si>
  <si>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</si>
  <si>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</si>
  <si>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</si>
  <si>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</si>
  <si>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</si>
  <si>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</si>
  <si>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</si>
  <si>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</si>
  <si>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</si>
  <si>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</si>
  <si>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</si>
  <si>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</si>
  <si>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</si>
  <si>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</si>
  <si>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</si>
  <si>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</si>
  <si>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</si>
  <si>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</si>
  <si>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</si>
  <si>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</si>
  <si>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</si>
  <si>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</si>
  <si>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</si>
  <si>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</si>
  <si>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</si>
  <si>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</si>
  <si>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</si>
  <si>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</si>
  <si>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</si>
  <si>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</si>
  <si>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</si>
  <si>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</si>
  <si>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</si>
  <si>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</si>
  <si>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</si>
  <si>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</si>
  <si>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</si>
  <si>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</si>
  <si>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</si>
  <si>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</si>
  <si>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</si>
  <si>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</si>
  <si>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</si>
  <si>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</si>
  <si>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</si>
  <si>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</si>
  <si>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</si>
  <si>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</si>
  <si>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</si>
  <si>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</si>
  <si>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</si>
  <si>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</si>
  <si>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</si>
  <si>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</si>
  <si>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</si>
  <si>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</si>
  <si>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</si>
  <si>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</si>
  <si>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</si>
  <si>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</si>
  <si>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</si>
  <si>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</si>
  <si>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</si>
  <si>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</si>
  <si>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</si>
  <si>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</si>
  <si>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</si>
  <si>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</si>
  <si>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</si>
  <si>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</si>
  <si>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</si>
  <si>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</si>
  <si>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</si>
  <si>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</si>
  <si>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</si>
  <si>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</si>
  <si>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</si>
  <si>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</si>
  <si>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</si>
  <si>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</si>
  <si>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</si>
  <si>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</si>
  <si>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</si>
  <si>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</si>
  <si>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</si>
  <si>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</si>
  <si>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</si>
  <si>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</si>
  <si>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</si>
  <si>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</si>
  <si>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</si>
  <si>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</si>
  <si>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</si>
  <si>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</si>
  <si>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</si>
  <si>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</si>
  <si>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</si>
  <si>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</si>
  <si>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</si>
  <si>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</si>
  <si>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</si>
  <si>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</si>
  <si>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</si>
  <si>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</si>
  <si>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</si>
  <si>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</si>
  <si>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</si>
  <si>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</si>
  <si>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</si>
  <si>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</si>
  <si>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</si>
  <si>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</si>
  <si>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</si>
  <si>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</si>
  <si>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</si>
  <si>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</si>
  <si>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</si>
  <si>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</si>
  <si>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</si>
  <si>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</si>
  <si>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</si>
  <si>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</si>
  <si>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</si>
  <si>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</si>
  <si>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</si>
  <si>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</si>
  <si>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</si>
  <si>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</si>
  <si>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</si>
  <si>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</si>
  <si>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</si>
  <si>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</si>
  <si>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</si>
  <si>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</si>
  <si>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</si>
  <si>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</si>
  <si>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</si>
  <si>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</si>
  <si>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</si>
  <si>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</si>
  <si>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</si>
  <si>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</si>
  <si>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</si>
  <si>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</si>
  <si>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</si>
  <si>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</si>
  <si>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</si>
  <si>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</si>
  <si>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</si>
  <si>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</si>
  <si>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</si>
  <si>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</si>
  <si>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</si>
  <si>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</si>
  <si>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</si>
  <si>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</si>
  <si>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</si>
  <si>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</si>
  <si>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</si>
  <si>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</si>
  <si>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</si>
  <si>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</si>
  <si>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</si>
  <si>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</si>
  <si>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</si>
  <si>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</si>
  <si>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</si>
  <si>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</si>
  <si>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</si>
  <si>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</si>
  <si>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</si>
  <si>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</si>
  <si>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</si>
  <si>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</si>
  <si>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</si>
  <si>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</si>
  <si>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</si>
  <si>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</si>
  <si>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</si>
  <si>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</si>
  <si>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</si>
  <si>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</si>
  <si>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</si>
  <si>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</si>
  <si>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</si>
  <si>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</si>
  <si>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</si>
  <si>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</si>
  <si>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</si>
  <si>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</si>
  <si>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</si>
  <si>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</si>
  <si>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</si>
  <si>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</si>
  <si>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</si>
  <si>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</si>
  <si>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</si>
  <si>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</si>
  <si>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</si>
  <si>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</si>
  <si>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</si>
  <si>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</si>
  <si>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</si>
  <si>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</si>
  <si>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</si>
  <si>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</si>
  <si>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</si>
  <si>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</si>
  <si>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</si>
  <si>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</si>
  <si>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</si>
  <si>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</si>
  <si>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</si>
  <si>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</si>
  <si>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</si>
  <si>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</si>
  <si>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</si>
  <si>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</si>
  <si>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</si>
  <si>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</si>
  <si>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</si>
  <si>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</si>
  <si>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</si>
  <si>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</si>
  <si>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</si>
  <si>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</si>
  <si>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</si>
  <si>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</si>
  <si>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</si>
  <si>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</si>
  <si>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</si>
  <si>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</si>
  <si>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</si>
  <si>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</si>
  <si>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</si>
  <si>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</si>
  <si>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</si>
  <si>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</si>
  <si>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</si>
  <si>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</si>
  <si>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</si>
  <si>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</si>
  <si>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</si>
  <si>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</si>
  <si>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</si>
  <si>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</si>
  <si>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</si>
  <si>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</si>
  <si>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</si>
  <si>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</si>
  <si>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</si>
  <si>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</si>
  <si>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</si>
  <si>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</si>
  <si>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</si>
  <si>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</si>
  <si>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</si>
  <si>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</si>
  <si>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</si>
  <si>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</si>
  <si>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</si>
  <si>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</si>
  <si>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</si>
  <si>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</si>
  <si>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</si>
  <si>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</si>
  <si>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</si>
  <si>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</si>
  <si>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</si>
  <si>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</si>
  <si>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</si>
  <si>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</si>
  <si>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</si>
  <si>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</si>
  <si>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</si>
  <si>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</si>
  <si>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</si>
  <si>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</si>
  <si>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</si>
  <si>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</si>
  <si>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</si>
  <si>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</si>
  <si>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</si>
  <si>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</si>
  <si>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</si>
  <si>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</si>
  <si>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</si>
  <si>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</si>
  <si>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</si>
  <si>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</si>
  <si>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</si>
  <si>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</si>
  <si>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</si>
  <si>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</si>
  <si>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</si>
  <si>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</si>
  <si>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</si>
  <si>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</si>
  <si>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</si>
  <si>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</si>
  <si>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</si>
  <si>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</si>
  <si>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</si>
  <si>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</si>
  <si>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</si>
  <si>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</si>
  <si>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</si>
  <si>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</si>
  <si>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</si>
  <si>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</si>
  <si>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</si>
  <si>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</si>
  <si>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</si>
  <si>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</si>
  <si>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</si>
  <si>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</si>
  <si>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</si>
  <si>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</si>
  <si>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</si>
  <si>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</si>
  <si>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</si>
  <si>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</si>
  <si>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</si>
  <si>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</si>
  <si>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</si>
  <si>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</si>
  <si>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</si>
  <si>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</si>
  <si>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</si>
  <si>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</si>
  <si>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</si>
  <si>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</si>
  <si>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</si>
  <si>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</si>
  <si>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</si>
  <si>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</si>
  <si>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</si>
  <si>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</si>
  <si>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</si>
  <si>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</si>
  <si>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</si>
  <si>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</si>
  <si>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</si>
  <si>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</si>
  <si>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</si>
  <si>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</si>
  <si>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</si>
  <si>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</si>
  <si>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</si>
  <si>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</si>
  <si>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</si>
  <si>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</si>
  <si>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</si>
  <si>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</si>
  <si>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</si>
  <si>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</si>
  <si>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</si>
  <si>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</si>
  <si>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</si>
  <si>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</si>
  <si>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</si>
  <si>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</si>
  <si>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</si>
  <si>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</si>
  <si>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</si>
  <si>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</si>
  <si>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</si>
  <si>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</si>
  <si>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</si>
  <si>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</si>
  <si>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</si>
  <si>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</si>
  <si>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</si>
  <si>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</si>
  <si>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</si>
  <si>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</si>
  <si>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</si>
  <si>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</si>
  <si>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</si>
  <si>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</si>
  <si>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</si>
  <si>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</si>
  <si>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</si>
  <si>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</si>
  <si>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</si>
  <si>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</si>
  <si>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</si>
  <si>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</si>
  <si>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</si>
  <si>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</si>
  <si>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</si>
  <si>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</si>
  <si>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</si>
  <si>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</si>
  <si>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</si>
  <si>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</si>
  <si>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</si>
  <si>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</si>
  <si>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</si>
  <si>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</si>
  <si>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</si>
  <si>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</si>
  <si>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</si>
  <si>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</si>
  <si>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</si>
  <si>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</si>
  <si>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</si>
  <si>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</si>
  <si>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</si>
  <si>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</si>
  <si>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</si>
  <si>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</si>
  <si>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</si>
  <si>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</si>
  <si>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</si>
  <si>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</si>
  <si>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</si>
  <si>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</si>
  <si>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</si>
  <si>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</si>
  <si>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</si>
  <si>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</si>
  <si>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</si>
  <si>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</si>
  <si>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</si>
  <si>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</si>
  <si>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</si>
  <si>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</si>
  <si>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</si>
  <si>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</si>
  <si>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</si>
  <si>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</si>
  <si>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</si>
  <si>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</si>
  <si>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</si>
  <si>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</si>
  <si>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</si>
  <si>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</si>
  <si>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</si>
  <si>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</si>
  <si>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</si>
  <si>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</si>
  <si>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</si>
  <si>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</si>
  <si>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</si>
  <si>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</si>
  <si>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</si>
  <si>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</si>
  <si>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</si>
  <si>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</si>
  <si>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</si>
  <si>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</si>
  <si>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</si>
  <si>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</si>
  <si>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</si>
  <si>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</si>
  <si>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</si>
  <si>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</si>
  <si>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</si>
  <si>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</si>
  <si>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</si>
  <si>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</si>
  <si>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</si>
  <si>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</si>
  <si>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</si>
  <si>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</si>
  <si>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</si>
  <si>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</si>
  <si>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</si>
  <si>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</si>
  <si>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</si>
  <si>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</si>
  <si>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</si>
  <si>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</si>
  <si>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</si>
  <si>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</si>
  <si>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</si>
  <si>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</si>
  <si>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</si>
  <si>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</si>
  <si>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</si>
  <si>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</si>
  <si>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</si>
  <si>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</si>
  <si>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</si>
  <si>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</si>
  <si>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</si>
  <si>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</si>
  <si>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</si>
  <si>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</si>
  <si>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</si>
  <si>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</si>
  <si>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</si>
  <si>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</si>
  <si>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</si>
  <si>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</si>
  <si>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</si>
  <si>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</si>
  <si>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</si>
  <si>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</si>
  <si>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</si>
  <si>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</si>
  <si>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</si>
  <si>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</si>
  <si>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</si>
  <si>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</si>
  <si>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</si>
  <si>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</si>
  <si>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</si>
  <si>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</si>
  <si>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</si>
  <si>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</si>
  <si>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</si>
  <si>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</si>
  <si>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</si>
  <si>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</si>
  <si>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</si>
  <si>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</si>
  <si>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</si>
  <si>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</si>
  <si>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</si>
  <si>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</si>
  <si>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</si>
  <si>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</si>
  <si>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</si>
  <si>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</si>
  <si>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</si>
  <si>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</si>
  <si>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</si>
  <si>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</si>
  <si>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</si>
  <si>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</si>
  <si>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</si>
  <si>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</si>
  <si>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</si>
  <si>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</si>
  <si>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</si>
  <si>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</si>
  <si>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</si>
  <si>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</si>
  <si>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</si>
  <si>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</si>
  <si>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</si>
  <si>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</si>
  <si>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</si>
  <si>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</si>
  <si>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</si>
  <si>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</si>
  <si>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</si>
  <si>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</si>
  <si>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</si>
  <si>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</si>
  <si>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</si>
  <si>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</si>
  <si>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</si>
  <si>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</si>
  <si>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</si>
  <si>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</si>
  <si>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</si>
  <si>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</si>
  <si>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</si>
  <si>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</si>
  <si>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</si>
  <si>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</si>
  <si>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</si>
  <si>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</si>
  <si>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</si>
  <si>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</si>
  <si>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</si>
  <si>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</si>
  <si>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</si>
  <si>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</si>
  <si>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</si>
  <si>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</si>
  <si>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</si>
  <si>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</si>
  <si>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</si>
  <si>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</si>
  <si>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</si>
  <si>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</si>
  <si>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</si>
  <si>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</si>
  <si>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</si>
  <si>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</si>
  <si>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</si>
  <si>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</si>
  <si>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</si>
  <si>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</si>
  <si>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</si>
  <si>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</si>
  <si>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</si>
  <si>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</si>
  <si>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</si>
  <si>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</si>
  <si>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</si>
  <si>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</si>
  <si>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</si>
  <si>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</si>
  <si>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</si>
  <si>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</si>
  <si>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</si>
  <si>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</si>
  <si>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</si>
  <si>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</si>
  <si>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</si>
  <si>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</si>
  <si>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</si>
  <si>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</si>
  <si>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</si>
  <si>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</si>
  <si>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</si>
  <si>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</si>
  <si>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</si>
  <si>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</si>
  <si>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</si>
  <si>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</si>
  <si>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</si>
  <si>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</si>
  <si>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</si>
  <si>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</si>
  <si>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</si>
  <si>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</si>
  <si>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</si>
  <si>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</si>
  <si>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</si>
  <si>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</si>
  <si>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</si>
  <si>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</si>
  <si>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</si>
  <si>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</si>
  <si>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</si>
  <si>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</si>
  <si>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</si>
  <si>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</si>
  <si>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</si>
  <si>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</si>
  <si>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</si>
  <si>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</si>
  <si>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</si>
  <si>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</si>
  <si>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</si>
  <si>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</si>
  <si>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</si>
  <si>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</si>
  <si>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</si>
  <si>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</si>
  <si>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</si>
  <si>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</si>
  <si>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</si>
  <si>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</si>
  <si>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</si>
  <si>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</si>
  <si>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</si>
  <si>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</si>
  <si>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</si>
  <si>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</si>
  <si>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</si>
  <si>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</si>
  <si>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</si>
  <si>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</si>
  <si>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</si>
  <si>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</si>
  <si>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</si>
  <si>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</si>
  <si>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</si>
  <si>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</si>
  <si>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</si>
  <si>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</si>
  <si>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</si>
  <si>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</si>
  <si>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</si>
  <si>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</si>
  <si>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</si>
  <si>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</si>
  <si>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</si>
  <si>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</si>
  <si>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</si>
  <si>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</si>
  <si>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</si>
  <si>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</si>
  <si>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</si>
  <si>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</si>
  <si>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</si>
  <si>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</si>
  <si>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</si>
  <si>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</si>
  <si>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</si>
  <si>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</si>
  <si>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</si>
  <si>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</si>
  <si>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</si>
  <si>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</si>
  <si>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</si>
  <si>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</si>
  <si>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</si>
  <si>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</si>
  <si>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</si>
  <si>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</si>
  <si>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</si>
  <si>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</si>
  <si>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</si>
  <si>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</si>
  <si>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</si>
  <si>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</si>
  <si>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</si>
  <si>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</si>
  <si>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</si>
  <si>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</si>
  <si>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</si>
  <si>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</si>
  <si>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</si>
  <si>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</si>
  <si>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</si>
  <si>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</si>
  <si>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</si>
  <si>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</si>
  <si>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</si>
  <si>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</si>
  <si>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</si>
  <si>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</si>
  <si>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</si>
  <si>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</si>
  <si>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</si>
  <si>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</si>
  <si>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</si>
  <si>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</si>
  <si>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</si>
  <si>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</si>
  <si>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</si>
  <si>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</si>
  <si>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</si>
  <si>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</si>
  <si>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</si>
  <si>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</si>
  <si>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</si>
  <si>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</si>
  <si>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</si>
  <si>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</si>
  <si>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</si>
  <si>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</si>
  <si>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</si>
  <si>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</si>
  <si>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</si>
  <si>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</si>
  <si>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</si>
  <si>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</si>
  <si>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</si>
  <si>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</si>
  <si>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</si>
  <si>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</si>
  <si>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</si>
  <si>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</si>
  <si>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</si>
  <si>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</si>
  <si>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</si>
  <si>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</si>
  <si>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</si>
  <si>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</si>
  <si>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</si>
  <si>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</si>
  <si>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</si>
  <si>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</si>
  <si>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</si>
  <si>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</si>
  <si>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</si>
  <si>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</si>
  <si>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</si>
  <si>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</si>
  <si>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</si>
  <si>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</si>
  <si>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</si>
  <si>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</si>
  <si>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</si>
  <si>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</si>
  <si>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</si>
  <si>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</si>
  <si>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</si>
  <si>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</si>
  <si>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</si>
  <si>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</si>
  <si>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</si>
  <si>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</si>
  <si>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</si>
  <si>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</si>
  <si>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</si>
  <si>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</si>
  <si>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</si>
  <si>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</si>
  <si>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</si>
  <si>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</si>
  <si>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</si>
  <si>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</si>
  <si>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</si>
  <si>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</si>
  <si>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</si>
  <si>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</si>
  <si>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</si>
  <si>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</si>
  <si>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</si>
  <si>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</si>
  <si>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</si>
  <si>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</si>
  <si>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</si>
  <si>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</si>
  <si>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</si>
  <si>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</si>
  <si>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</si>
  <si>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</si>
  <si>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</si>
  <si>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</si>
  <si>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</si>
  <si>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</si>
  <si>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</si>
  <si>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</si>
  <si>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</si>
  <si>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</si>
  <si>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</si>
  <si>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</si>
  <si>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</si>
  <si>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</si>
  <si>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</si>
  <si>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</si>
  <si>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</si>
  <si>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</si>
  <si>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</si>
  <si>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</si>
  <si>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</si>
  <si>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</si>
  <si>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</si>
  <si>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</si>
  <si>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</si>
  <si>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</si>
  <si>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</si>
  <si>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</si>
  <si>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</si>
  <si>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</si>
  <si>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</si>
  <si>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</si>
  <si>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</si>
  <si>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</si>
  <si>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</si>
  <si>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</si>
  <si>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</si>
  <si>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</si>
  <si>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</si>
  <si>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</si>
  <si>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</si>
  <si>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</si>
  <si>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</si>
  <si>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</si>
  <si>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</si>
  <si>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</si>
  <si>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</si>
  <si>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</si>
  <si>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</si>
  <si>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</si>
  <si>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</si>
  <si>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</si>
  <si>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</si>
  <si>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</si>
  <si>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</si>
  <si>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</si>
  <si>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</si>
  <si>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</si>
  <si>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</si>
  <si>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</si>
  <si>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</si>
  <si>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</si>
  <si>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</si>
  <si>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</si>
  <si>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</si>
  <si>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</si>
  <si>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</si>
  <si>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</si>
  <si>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</si>
  <si>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</si>
  <si>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</si>
  <si>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</si>
  <si>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</si>
  <si>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</si>
  <si>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</si>
  <si>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</si>
  <si>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</si>
  <si>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</si>
  <si>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</si>
  <si>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</si>
  <si>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</si>
  <si>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</si>
  <si>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</si>
  <si>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</si>
  <si>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</si>
  <si>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</si>
  <si>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</si>
  <si>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</si>
  <si>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</si>
  <si>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</si>
  <si>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</si>
  <si>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</si>
  <si>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</si>
  <si>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</si>
  <si>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</si>
  <si>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</si>
  <si>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</si>
  <si>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</si>
  <si>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</si>
  <si>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</si>
  <si>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</si>
  <si>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</si>
  <si>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</si>
  <si>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</si>
  <si>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</si>
  <si>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</si>
  <si>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</si>
  <si>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</si>
  <si>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</si>
  <si>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</si>
  <si>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</si>
  <si>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</si>
  <si>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</si>
  <si>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</si>
  <si>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</si>
  <si>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</si>
  <si>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</si>
  <si>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</si>
  <si>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</si>
  <si>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</si>
  <si>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</si>
  <si>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</si>
  <si>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</si>
  <si>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</si>
  <si>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</si>
  <si>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</si>
  <si>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</si>
  <si>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</si>
  <si>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</si>
  <si>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</si>
  <si>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</si>
  <si>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</si>
  <si>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</si>
  <si>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</si>
  <si>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</si>
  <si>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</si>
  <si>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</si>
  <si>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</si>
  <si>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</si>
  <si>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</si>
  <si>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</si>
  <si>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</si>
  <si>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</si>
  <si>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</si>
  <si>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</si>
  <si>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</si>
  <si>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</si>
  <si>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</si>
  <si>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</si>
  <si>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</si>
  <si>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</si>
  <si>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</si>
  <si>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</si>
  <si>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</si>
  <si>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</si>
  <si>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</si>
  <si>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</si>
  <si>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</si>
  <si>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</si>
  <si>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</si>
  <si>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</si>
  <si>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</si>
  <si>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</si>
  <si>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</si>
  <si>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</si>
  <si>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</si>
  <si>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</si>
  <si>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</si>
  <si>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</si>
  <si>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</si>
  <si>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</si>
  <si>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</si>
  <si>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</si>
  <si>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</si>
  <si>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</si>
  <si>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</si>
  <si>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</si>
  <si>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</si>
  <si>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</si>
  <si>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</si>
  <si>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</si>
  <si>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</si>
  <si>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</si>
  <si>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</si>
  <si>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</si>
  <si>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</si>
  <si>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</si>
  <si>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</si>
  <si>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</si>
  <si>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</si>
  <si>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</si>
  <si>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</si>
  <si>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</si>
  <si>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</si>
  <si>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</si>
  <si>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</si>
  <si>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</si>
  <si>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</si>
  <si>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</si>
  <si>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</si>
  <si>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</si>
  <si>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</si>
  <si>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</si>
  <si>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</si>
  <si>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</si>
  <si>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</si>
  <si>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</si>
  <si>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</si>
  <si>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</si>
  <si>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</si>
  <si>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</si>
  <si>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</si>
  <si>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</si>
  <si>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</si>
  <si>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</si>
  <si>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</si>
  <si>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</si>
  <si>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</si>
  <si>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</si>
  <si>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</si>
  <si>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</si>
  <si>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</si>
  <si>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</si>
  <si>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</si>
  <si>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</si>
  <si>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</si>
  <si>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</si>
  <si>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</si>
  <si>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</si>
  <si>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</si>
  <si>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</si>
  <si>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</si>
  <si>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</si>
  <si>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</si>
  <si>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</si>
  <si>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</si>
  <si>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</si>
  <si>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</si>
  <si>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</si>
  <si>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</si>
  <si>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</si>
  <si>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</si>
  <si>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</si>
  <si>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</si>
  <si>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</si>
  <si>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</si>
  <si>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</si>
  <si>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</si>
  <si>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</si>
  <si>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</si>
  <si>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</si>
  <si>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</si>
  <si>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</si>
  <si>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</si>
  <si>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</si>
  <si>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</si>
  <si>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</si>
  <si>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</si>
  <si>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</si>
  <si>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</si>
  <si>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</si>
  <si>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</si>
  <si>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</si>
  <si>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</si>
  <si>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</si>
  <si>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</si>
  <si>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</si>
  <si>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</si>
  <si>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</si>
  <si>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</si>
  <si>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</si>
  <si>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</si>
  <si>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</si>
  <si>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</si>
  <si>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</si>
  <si>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</si>
  <si>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</si>
  <si>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</si>
  <si>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</si>
  <si>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</si>
  <si>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</si>
  <si>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</si>
  <si>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</si>
  <si>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</si>
  <si>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</si>
  <si>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</si>
  <si>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</si>
  <si>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</si>
  <si>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</si>
  <si>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</si>
  <si>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</si>
  <si>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</si>
  <si>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</si>
  <si>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</si>
  <si>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</si>
  <si>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</si>
  <si>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</si>
  <si>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</si>
  <si>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</si>
  <si>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</si>
  <si>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</si>
  <si>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</si>
  <si>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</si>
  <si>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</si>
  <si>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</si>
  <si>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</si>
  <si>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</si>
  <si>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</si>
  <si>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</si>
  <si>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</si>
  <si>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</si>
  <si>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</si>
  <si>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</si>
  <si>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</si>
  <si>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</si>
  <si>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</si>
  <si>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</si>
  <si>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</si>
  <si>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</si>
  <si>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</si>
  <si>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</si>
  <si>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</si>
  <si>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</si>
  <si>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</si>
  <si>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</si>
  <si>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</si>
  <si>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</si>
  <si>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</si>
  <si>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</si>
  <si>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</si>
  <si>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</si>
  <si>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</si>
  <si>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</si>
  <si>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</si>
  <si>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</si>
  <si>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</si>
  <si>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</si>
  <si>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</si>
  <si>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</si>
  <si>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</si>
  <si>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</si>
  <si>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</si>
  <si>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</si>
  <si>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</si>
  <si>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</si>
  <si>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</si>
  <si>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</si>
  <si>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</si>
  <si>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</si>
  <si>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</si>
  <si>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</si>
  <si>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</si>
  <si>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</si>
  <si>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</si>
  <si>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</si>
  <si>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</si>
  <si>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</si>
  <si>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</si>
  <si>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</si>
  <si>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</si>
  <si>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</si>
  <si>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</si>
  <si>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</si>
  <si>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</si>
  <si>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</si>
  <si>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</si>
  <si>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</si>
  <si>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</si>
  <si>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</si>
  <si>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</si>
  <si>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</si>
  <si>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</si>
  <si>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</si>
  <si>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</si>
  <si>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</si>
  <si>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</si>
  <si>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</si>
  <si>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</si>
  <si>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</si>
  <si>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</si>
  <si>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</si>
  <si>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</si>
  <si>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</si>
  <si>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</si>
  <si>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</si>
  <si>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</si>
  <si>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</si>
  <si>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</si>
  <si>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</si>
  <si>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</si>
  <si>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</si>
  <si>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</si>
  <si>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</si>
  <si>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</si>
  <si>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</si>
  <si>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</si>
  <si>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</si>
  <si>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</si>
  <si>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</si>
  <si>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</si>
  <si>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</si>
  <si>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</si>
  <si>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</si>
  <si>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</si>
  <si>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</si>
  <si>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</si>
  <si>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</si>
  <si>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</si>
  <si>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</si>
  <si>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</si>
  <si>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</si>
  <si>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</si>
  <si>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</si>
  <si>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</si>
  <si>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</si>
  <si>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</si>
  <si>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</si>
  <si>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</si>
  <si>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</si>
  <si>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</si>
  <si>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</si>
  <si>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</si>
  <si>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</si>
  <si>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</si>
  <si>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</si>
  <si>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</si>
  <si>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</si>
  <si>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</si>
  <si>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</si>
  <si>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</si>
  <si>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</si>
  <si>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</si>
  <si>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</si>
  <si>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</si>
  <si>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</si>
  <si>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</si>
  <si>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</si>
  <si>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</si>
  <si>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</si>
  <si>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</si>
  <si>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</si>
  <si>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</si>
  <si>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</si>
  <si>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</si>
  <si>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</si>
  <si>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</si>
  <si>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</si>
  <si>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</si>
  <si>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</si>
  <si>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</si>
  <si>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</si>
  <si>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</si>
  <si>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</si>
  <si>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</si>
  <si>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</si>
  <si>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</si>
  <si>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</si>
  <si>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</si>
  <si>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</si>
  <si>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</si>
  <si>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</si>
  <si>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</si>
  <si>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</si>
  <si>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</si>
  <si>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</si>
  <si>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</si>
  <si>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</si>
  <si>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</si>
  <si>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</si>
  <si>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</si>
  <si>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</si>
  <si>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</si>
  <si>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</si>
  <si>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</si>
  <si>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</si>
  <si>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</si>
  <si>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</si>
  <si>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</si>
  <si>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</si>
  <si>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</si>
  <si>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</si>
  <si>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</si>
  <si>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</si>
  <si>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</si>
  <si>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</si>
  <si>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</si>
  <si>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</si>
  <si>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</si>
  <si>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</si>
  <si>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</si>
  <si>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</si>
  <si>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</si>
  <si>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</si>
  <si>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</si>
  <si>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</si>
  <si>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</si>
  <si>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</si>
  <si>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</si>
  <si>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</si>
  <si>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</si>
  <si>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</si>
  <si>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</si>
  <si>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</si>
  <si>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</si>
  <si>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</si>
  <si>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</si>
  <si>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</si>
  <si>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</si>
  <si>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</si>
  <si>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</si>
  <si>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</si>
  <si>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</si>
  <si>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</si>
  <si>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</si>
  <si>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</si>
  <si>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</si>
  <si>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</si>
  <si>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</si>
  <si>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</si>
  <si>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</si>
  <si>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</si>
  <si>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</si>
  <si>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</si>
  <si>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</si>
  <si>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</si>
  <si>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</si>
  <si>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</si>
  <si>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</si>
  <si>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</si>
  <si>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</si>
  <si>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</si>
  <si>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</si>
  <si>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</si>
  <si>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</si>
  <si>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</si>
  <si>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</si>
  <si>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</si>
  <si>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</si>
  <si>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</si>
  <si>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</si>
  <si>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</si>
  <si>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</si>
  <si>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</si>
  <si>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</si>
  <si>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</si>
  <si>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</si>
  <si>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</si>
  <si>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</si>
  <si>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</si>
  <si>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</si>
  <si>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</si>
  <si>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</si>
  <si>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</si>
  <si>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</si>
  <si>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</si>
  <si>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</si>
  <si>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</si>
  <si>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</si>
  <si>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</si>
  <si>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</si>
  <si>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</si>
  <si>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</si>
  <si>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</si>
  <si>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</si>
  <si>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</si>
  <si>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</si>
  <si>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</si>
  <si>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</si>
  <si>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</si>
  <si>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</si>
  <si>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</si>
  <si>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</si>
  <si>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</si>
  <si>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</si>
  <si>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</si>
  <si>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</si>
  <si>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</si>
  <si>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</si>
  <si>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</si>
  <si>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</si>
  <si>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</si>
  <si>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</si>
  <si>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</si>
  <si>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</si>
  <si>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</si>
  <si>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</si>
  <si>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</si>
  <si>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</si>
  <si>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</si>
  <si>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</si>
  <si>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</si>
  <si>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</si>
  <si>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</si>
  <si>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</si>
  <si>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</si>
  <si>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</si>
  <si>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</si>
  <si>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</si>
  <si>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</si>
  <si>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</si>
  <si>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</si>
  <si>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</si>
  <si>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</si>
  <si>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</si>
  <si>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</si>
  <si>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</si>
  <si>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</si>
  <si>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</si>
  <si>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</si>
  <si>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</si>
  <si>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</si>
  <si>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</si>
  <si>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</si>
  <si>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</si>
  <si>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</si>
  <si>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</si>
  <si>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</si>
  <si>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</si>
  <si>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</si>
  <si>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</si>
  <si>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</si>
  <si>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</si>
  <si>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</si>
  <si>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</si>
  <si>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</si>
  <si>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</si>
  <si>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</si>
  <si>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</si>
  <si>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</si>
  <si>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</si>
  <si>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</si>
  <si>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</si>
  <si>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</si>
  <si>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</si>
  <si>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</si>
  <si>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</si>
  <si>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</si>
  <si>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</si>
  <si>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</si>
  <si>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</si>
  <si>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</si>
  <si>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</si>
  <si>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</si>
  <si>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</si>
  <si>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</si>
  <si>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</si>
  <si>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</si>
  <si>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</si>
  <si>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</si>
  <si>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</si>
  <si>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</si>
  <si>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</si>
  <si>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</si>
  <si>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</si>
  <si>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</si>
  <si>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</si>
  <si>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</si>
  <si>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</si>
  <si>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</si>
  <si>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</si>
  <si>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</si>
  <si>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</si>
  <si>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</si>
  <si>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</si>
  <si>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</si>
  <si>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</si>
  <si>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</si>
  <si>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</si>
  <si>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</si>
  <si>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</si>
  <si>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</si>
  <si>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</si>
  <si>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</si>
  <si>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</si>
  <si>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</si>
  <si>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</si>
  <si>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</si>
  <si>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</si>
  <si>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</si>
  <si>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</si>
  <si>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</si>
  <si>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</si>
  <si>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</si>
  <si>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</si>
  <si>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</si>
  <si>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</si>
  <si>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</si>
  <si>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</si>
  <si>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</si>
  <si>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</si>
  <si>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</si>
  <si>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</si>
  <si>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</si>
  <si>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</si>
  <si>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</si>
  <si>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</si>
  <si>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</si>
  <si>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</si>
  <si>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</si>
  <si>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</si>
  <si>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</si>
  <si>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</si>
  <si>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</si>
  <si>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</si>
  <si>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</si>
  <si>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</si>
  <si>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</si>
  <si>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</si>
  <si>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</si>
  <si>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</si>
  <si>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</si>
  <si>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</si>
  <si>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</si>
  <si>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</si>
  <si>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</si>
  <si>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</si>
  <si>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</si>
  <si>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</si>
  <si>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</si>
  <si>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</si>
  <si>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</si>
  <si>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</si>
  <si>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</si>
  <si>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</si>
  <si>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</si>
  <si>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</si>
  <si>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</si>
  <si>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</si>
  <si>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</si>
  <si>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</si>
  <si>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</si>
  <si>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</si>
  <si>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</si>
  <si>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</si>
  <si>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</si>
  <si>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</si>
  <si>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</si>
  <si>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</si>
  <si>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</si>
  <si>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</si>
  <si>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</si>
  <si>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</si>
  <si>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</si>
  <si>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</si>
  <si>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</si>
  <si>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</si>
  <si>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</si>
  <si>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</si>
  <si>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</si>
  <si>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</si>
  <si>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</si>
  <si>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</si>
  <si>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</si>
  <si>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</si>
  <si>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</si>
  <si>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</si>
  <si>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</si>
  <si>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</si>
  <si>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</si>
  <si>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</si>
  <si>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</si>
  <si>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</si>
  <si>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</si>
  <si>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</si>
  <si>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</si>
  <si>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</si>
  <si>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</si>
  <si>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</si>
  <si>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</si>
  <si>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</si>
  <si>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</si>
  <si>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</si>
  <si>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</si>
  <si>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</si>
  <si>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</si>
  <si>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</si>
  <si>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</si>
  <si>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</si>
  <si>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</si>
  <si>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</si>
  <si>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</si>
  <si>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</si>
  <si>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</si>
  <si>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</si>
  <si>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</si>
  <si>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</si>
  <si>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</si>
  <si>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</si>
  <si>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</si>
  <si>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</si>
  <si>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</si>
  <si>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</si>
  <si>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</si>
  <si>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</si>
  <si>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</si>
  <si>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</si>
  <si>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</si>
  <si>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</si>
  <si>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</si>
  <si>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</si>
  <si>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</si>
  <si>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</si>
  <si>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</si>
  <si>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</si>
  <si>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</si>
  <si>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</si>
  <si>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</si>
  <si>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</si>
  <si>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</si>
  <si>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</si>
  <si>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</si>
  <si>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</si>
  <si>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</si>
  <si>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</si>
  <si>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</si>
  <si>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</si>
  <si>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</si>
  <si>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</si>
  <si>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</si>
  <si>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</si>
  <si>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</si>
  <si>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</si>
  <si>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</si>
  <si>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</si>
  <si>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</si>
  <si>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</si>
  <si>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</si>
  <si>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</si>
  <si>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</si>
  <si>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</si>
  <si>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</si>
  <si>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</si>
  <si>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</si>
  <si>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</si>
  <si>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</si>
  <si>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</si>
  <si>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</si>
  <si>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</si>
  <si>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</si>
  <si>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</si>
  <si>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</si>
  <si>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</si>
  <si>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</si>
  <si>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</si>
  <si>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</si>
  <si>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</si>
  <si>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</si>
  <si>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</si>
  <si>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</si>
  <si>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</si>
  <si>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</si>
  <si>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</si>
  <si>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</si>
  <si>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</si>
  <si>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</si>
  <si>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</si>
  <si>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</si>
  <si>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</si>
  <si>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</si>
  <si>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</si>
  <si>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</si>
  <si>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</si>
  <si>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</si>
  <si>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</si>
  <si>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</si>
  <si>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</si>
  <si>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</si>
  <si>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</si>
  <si>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</si>
  <si>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</si>
  <si>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</si>
  <si>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</si>
  <si>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</si>
  <si>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</si>
  <si>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</si>
  <si>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</si>
  <si>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</si>
  <si>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</si>
  <si>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</si>
  <si>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</si>
  <si>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</si>
  <si>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</si>
  <si>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</si>
  <si>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</si>
  <si>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</si>
  <si>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</si>
  <si>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</si>
  <si>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</si>
  <si>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</si>
  <si>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</si>
  <si>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</si>
  <si>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</si>
  <si>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</si>
  <si>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</si>
  <si>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</si>
  <si>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</si>
  <si>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</si>
  <si>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</si>
  <si>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</si>
  <si>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</si>
  <si>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</si>
  <si>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</si>
  <si>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</si>
  <si>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</si>
  <si>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</si>
  <si>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</si>
  <si>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</si>
  <si>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</si>
  <si>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</si>
  <si>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</si>
  <si>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</si>
  <si>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</si>
  <si>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</si>
  <si>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</si>
  <si>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</si>
  <si>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</si>
  <si>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</si>
  <si>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</si>
  <si>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</si>
  <si>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</si>
  <si>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</si>
  <si>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</si>
  <si>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</si>
  <si>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</si>
  <si>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</si>
  <si>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</si>
  <si>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</si>
  <si>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</si>
  <si>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</si>
  <si>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</si>
  <si>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</si>
  <si>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</si>
  <si>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</si>
  <si>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</si>
  <si>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</si>
  <si>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</si>
  <si>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</si>
  <si>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</si>
  <si>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</si>
  <si>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</si>
  <si>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</si>
  <si>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</si>
  <si>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</si>
  <si>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</si>
  <si>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</si>
  <si>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</si>
  <si>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</si>
  <si>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</si>
  <si>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</si>
  <si>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</si>
  <si>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</si>
  <si>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</si>
  <si>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</si>
  <si>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</si>
  <si>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</si>
  <si>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</si>
  <si>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</si>
  <si>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</si>
  <si>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</si>
  <si>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</si>
  <si>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</si>
  <si>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</si>
  <si>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</si>
  <si>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</si>
  <si>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</si>
  <si>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</si>
  <si>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</si>
  <si>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</si>
  <si>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</si>
  <si>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</si>
  <si>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</si>
  <si>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</si>
  <si>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</si>
  <si>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</si>
  <si>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</si>
  <si>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</si>
  <si>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</si>
  <si>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</si>
  <si>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</si>
  <si>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</si>
  <si>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</si>
  <si>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</si>
  <si>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</si>
  <si>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</si>
  <si>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</si>
  <si>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</si>
  <si>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</si>
  <si>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</si>
  <si>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</si>
  <si>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</si>
  <si>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</si>
  <si>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</si>
  <si>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</si>
  <si>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</si>
  <si>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</si>
  <si>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</si>
  <si>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</si>
  <si>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</si>
  <si>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</si>
  <si>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</si>
  <si>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</si>
  <si>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</si>
  <si>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</si>
  <si>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</si>
  <si>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</si>
  <si>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</si>
  <si>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</si>
  <si>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</si>
  <si>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</si>
  <si>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</si>
  <si>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</si>
  <si>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</si>
  <si>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</si>
  <si>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</si>
  <si>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</si>
  <si>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</si>
  <si>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</si>
  <si>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</si>
  <si>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</si>
  <si>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</si>
  <si>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</si>
  <si>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</si>
  <si>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</si>
  <si>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</si>
  <si>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</si>
  <si>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</si>
  <si>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</si>
  <si>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</si>
  <si>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</si>
  <si>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</si>
  <si>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</si>
  <si>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</si>
  <si>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</si>
  <si>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</si>
  <si>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</si>
  <si>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</si>
  <si>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</si>
  <si>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</si>
  <si>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</si>
  <si>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</si>
  <si>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</si>
  <si>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</si>
  <si>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</si>
  <si>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</si>
  <si>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</si>
  <si>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</si>
  <si>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</si>
  <si>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</si>
  <si>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</si>
  <si>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</si>
  <si>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</si>
  <si>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</si>
  <si>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</si>
  <si>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</si>
  <si>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</si>
  <si>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</si>
  <si>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</si>
  <si>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</si>
  <si>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</si>
  <si>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</si>
  <si>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</si>
  <si>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</si>
  <si>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</si>
  <si>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</si>
  <si>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</si>
  <si>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</si>
  <si>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</si>
  <si>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</si>
  <si>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</si>
  <si>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</si>
  <si>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</si>
  <si>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</si>
  <si>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</si>
  <si>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</si>
  <si>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</si>
  <si>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</si>
  <si>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</si>
  <si>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</si>
  <si>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</si>
  <si>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</si>
  <si>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</si>
  <si>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</si>
  <si>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</si>
  <si>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</si>
  <si>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</si>
  <si>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</si>
  <si>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</si>
  <si>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</si>
  <si>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</si>
  <si>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</si>
  <si>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</si>
  <si>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</si>
  <si>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</si>
  <si>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</si>
  <si>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</si>
  <si>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</si>
  <si>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</si>
  <si>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</si>
  <si>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</si>
  <si>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</si>
  <si>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</si>
  <si>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</si>
  <si>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</si>
  <si>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</si>
  <si>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</si>
  <si>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</si>
  <si>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</si>
  <si>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</si>
  <si>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</si>
  <si>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</si>
  <si>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</si>
  <si>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</si>
  <si>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</si>
  <si>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</si>
  <si>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</si>
  <si>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</si>
  <si>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</si>
  <si>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</si>
  <si>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</si>
  <si>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</si>
  <si>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</si>
  <si>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</si>
  <si>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</si>
  <si>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</si>
  <si>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</si>
  <si>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</si>
  <si>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</si>
  <si>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</si>
  <si>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</si>
  <si>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</si>
  <si>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</si>
  <si>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</si>
  <si>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</si>
  <si>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</si>
  <si>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</si>
  <si>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</si>
  <si>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</si>
  <si>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</si>
  <si>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</si>
  <si>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</si>
  <si>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</si>
  <si>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</si>
  <si>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</si>
  <si>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</si>
  <si>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</si>
  <si>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</si>
  <si>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</si>
  <si>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</si>
  <si>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</si>
  <si>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</si>
  <si>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</si>
  <si>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</si>
  <si>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</si>
  <si>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</si>
  <si>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</si>
  <si>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</si>
  <si>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</si>
  <si>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</si>
  <si>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</si>
  <si>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</si>
  <si>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</si>
  <si>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</si>
  <si>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</si>
  <si>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</si>
  <si>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</si>
  <si>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</si>
  <si>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</si>
  <si>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</si>
  <si>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</si>
  <si>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</si>
  <si>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</si>
  <si>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</si>
  <si>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</si>
  <si>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</si>
  <si>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</si>
  <si>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</si>
  <si>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</si>
  <si>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</si>
  <si>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</si>
  <si>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</si>
  <si>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</si>
  <si>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</si>
  <si>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</si>
  <si>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</si>
  <si>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</si>
  <si>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</si>
  <si>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</si>
  <si>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</si>
  <si>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</si>
  <si>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</si>
  <si>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</si>
  <si>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</si>
  <si>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</si>
  <si>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</si>
  <si>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</si>
  <si>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</si>
  <si>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</si>
  <si>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</si>
  <si>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</si>
  <si>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</si>
  <si>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</si>
  <si>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</si>
  <si>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</si>
  <si>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</si>
  <si>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</si>
  <si>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</si>
  <si>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</si>
  <si>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</si>
  <si>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</si>
  <si>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</si>
  <si>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</si>
  <si>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</si>
  <si>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</si>
  <si>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</si>
  <si>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</si>
  <si>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</si>
  <si>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</si>
  <si>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</si>
  <si>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</si>
  <si>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</si>
  <si>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</si>
  <si>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</si>
  <si>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</si>
  <si>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</si>
  <si>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</si>
  <si>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</si>
  <si>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</si>
  <si>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</si>
  <si>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</si>
  <si>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</si>
  <si>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</si>
  <si>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</si>
  <si>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</si>
  <si>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</si>
  <si>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</si>
  <si>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</si>
  <si>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</si>
  <si>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</si>
  <si>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</si>
  <si>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</si>
  <si>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</si>
  <si>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</si>
  <si>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</si>
  <si>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</si>
  <si>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</si>
  <si>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</si>
  <si>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</si>
  <si>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</si>
  <si>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</si>
  <si>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</si>
  <si>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</si>
  <si>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</si>
  <si>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</si>
  <si>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</si>
  <si>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</si>
  <si>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</si>
  <si>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</si>
  <si>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</si>
  <si>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</si>
  <si>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</si>
  <si>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</si>
  <si>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</si>
  <si>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</si>
  <si>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</si>
  <si>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</si>
  <si>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</si>
  <si>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</si>
  <si>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</si>
  <si>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</si>
  <si>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</si>
  <si>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</si>
  <si>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</si>
  <si>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</si>
  <si>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</si>
  <si>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</si>
  <si>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</si>
  <si>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</si>
  <si>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</si>
  <si>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</si>
  <si>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</si>
  <si>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</si>
  <si>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</si>
  <si>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</si>
  <si>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</si>
  <si>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</si>
  <si>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</si>
  <si>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</si>
  <si>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</si>
  <si>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</si>
  <si>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</si>
  <si>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</si>
  <si>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</si>
  <si>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</si>
  <si>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</si>
  <si>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</si>
  <si>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</si>
  <si>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</si>
  <si>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</si>
  <si>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</si>
  <si>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</si>
  <si>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</si>
  <si>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</si>
  <si>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</si>
  <si>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</si>
  <si>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</si>
  <si>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</si>
  <si>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</si>
  <si>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</si>
  <si>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</si>
  <si>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</si>
  <si>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</si>
  <si>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</si>
  <si>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</si>
  <si>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</si>
  <si>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</si>
  <si>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</si>
  <si>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</si>
  <si>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</si>
  <si>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</si>
  <si>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</si>
  <si>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</si>
  <si>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</si>
  <si>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</si>
  <si>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</si>
  <si>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</si>
  <si>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</si>
  <si>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</si>
  <si>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</si>
  <si>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</si>
  <si>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</si>
  <si>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</si>
  <si>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</si>
  <si>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</si>
  <si>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</si>
  <si>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</si>
  <si>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</si>
  <si>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</si>
  <si>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</si>
  <si>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</si>
  <si>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</si>
  <si>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</si>
  <si>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</si>
  <si>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</si>
  <si>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</si>
  <si>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</si>
  <si>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</si>
  <si>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</si>
  <si>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</si>
  <si>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</si>
  <si>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</si>
  <si>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</si>
  <si>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</si>
  <si>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</si>
  <si>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</si>
  <si>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</si>
  <si>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</si>
  <si>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</si>
  <si>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</si>
  <si>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</si>
  <si>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</si>
  <si>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</si>
  <si>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</si>
  <si>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</si>
  <si>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</si>
  <si>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</si>
  <si>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</si>
  <si>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</si>
  <si>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</si>
  <si>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</si>
  <si>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</si>
  <si>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</si>
  <si>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</si>
  <si>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</si>
  <si>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</si>
  <si>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</si>
  <si>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</si>
  <si>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</si>
  <si>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</si>
  <si>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</si>
  <si>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</si>
  <si>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</si>
  <si>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</si>
  <si>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</si>
  <si>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</si>
  <si>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</si>
  <si>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</si>
  <si>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</si>
  <si>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</si>
  <si>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</si>
  <si>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</si>
  <si>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</si>
  <si>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</si>
  <si>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</si>
  <si>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</si>
  <si>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</si>
  <si>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</si>
  <si>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</si>
  <si>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</si>
  <si>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</si>
  <si>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</si>
  <si>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</si>
  <si>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</si>
  <si>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</si>
  <si>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</si>
  <si>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</si>
  <si>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</si>
  <si>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</si>
  <si>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</si>
  <si>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</si>
  <si>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</si>
  <si>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</si>
  <si>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</si>
  <si>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</si>
  <si>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</si>
  <si>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</si>
  <si>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</si>
  <si>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</si>
  <si>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</si>
  <si>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</si>
  <si>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</si>
  <si>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</si>
  <si>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</si>
  <si>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</si>
  <si>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</si>
  <si>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</si>
  <si>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</si>
  <si>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</si>
  <si>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</si>
  <si>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</si>
  <si>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</si>
  <si>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</si>
  <si>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</si>
  <si>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</si>
  <si>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</si>
  <si>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</si>
  <si>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</si>
  <si>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</si>
  <si>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</si>
  <si>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</si>
  <si>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</si>
  <si>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</si>
  <si>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</si>
  <si>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</si>
  <si>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</si>
  <si>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</si>
  <si>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</si>
  <si>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</si>
  <si>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</si>
  <si>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</si>
  <si>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</si>
  <si>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</si>
  <si>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</si>
  <si>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</si>
  <si>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</si>
  <si>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</si>
  <si>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</si>
  <si>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</si>
  <si>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</si>
  <si>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</si>
  <si>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</si>
  <si>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</si>
  <si>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</si>
  <si>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</si>
  <si>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</si>
  <si>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</si>
  <si>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</si>
  <si>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</si>
  <si>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</si>
  <si>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</si>
  <si>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</si>
  <si>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</si>
  <si>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</si>
  <si>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</si>
  <si>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</si>
  <si>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</si>
  <si>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</si>
  <si>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</si>
  <si>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</si>
  <si>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</si>
  <si>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</si>
  <si>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</si>
  <si>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</si>
  <si>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</si>
  <si>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</si>
  <si>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</si>
  <si>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</si>
  <si>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</si>
  <si>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</si>
  <si>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</si>
  <si>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</si>
  <si>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</si>
  <si>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</si>
  <si>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</si>
  <si>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</si>
  <si>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</si>
  <si>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</si>
  <si>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</si>
  <si>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</si>
  <si>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</si>
  <si>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</si>
  <si>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</si>
  <si>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</si>
  <si>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</si>
  <si>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</si>
  <si>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</si>
  <si>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</si>
  <si>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</si>
  <si>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</si>
  <si>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</si>
  <si>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</si>
  <si>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</si>
  <si>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</si>
  <si>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</si>
  <si>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</si>
  <si>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</si>
  <si>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</si>
  <si>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</si>
  <si>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</si>
  <si>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</si>
  <si>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</si>
  <si>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</si>
  <si>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</si>
  <si>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</si>
  <si>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</si>
  <si>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</si>
  <si>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</si>
  <si>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</si>
  <si>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</si>
  <si>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</si>
  <si>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</si>
  <si>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</si>
  <si>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</si>
  <si>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</si>
  <si>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</si>
  <si>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</si>
  <si>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</si>
  <si>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</si>
  <si>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</si>
  <si>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</si>
  <si>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</si>
  <si>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</si>
  <si>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</si>
  <si>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</si>
  <si>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</si>
  <si>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</si>
  <si>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</si>
  <si>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</si>
  <si>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</si>
  <si>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</si>
  <si>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</si>
  <si>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</si>
  <si>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</si>
  <si>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</si>
  <si>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</si>
  <si>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</si>
  <si>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</si>
  <si>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</si>
  <si>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</si>
  <si>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</si>
  <si>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</si>
  <si>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</si>
  <si>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</si>
  <si>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</si>
  <si>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</si>
  <si>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</si>
  <si>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</si>
  <si>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</si>
  <si>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</si>
  <si>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</si>
  <si>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</si>
  <si>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</si>
  <si>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</si>
  <si>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</si>
  <si>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</si>
  <si>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</si>
  <si>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</si>
  <si>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</si>
  <si>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</si>
  <si>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</si>
  <si>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</si>
  <si>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</si>
  <si>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</si>
  <si>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</si>
  <si>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</si>
  <si>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</si>
  <si>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</si>
  <si>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</si>
  <si>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</si>
  <si>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</si>
  <si>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</si>
  <si>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</si>
  <si>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</si>
  <si>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</si>
  <si>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</si>
  <si>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</si>
  <si>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</si>
  <si>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</si>
  <si>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</si>
  <si>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</si>
  <si>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</si>
  <si>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</si>
  <si>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</si>
  <si>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</si>
  <si>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</si>
  <si>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</si>
  <si>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</si>
  <si>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</si>
  <si>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</si>
  <si>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</si>
  <si>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</si>
  <si>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</si>
  <si>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</si>
  <si>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</si>
  <si>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</si>
  <si>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</si>
  <si>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</si>
  <si>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</si>
  <si>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</si>
  <si>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</si>
  <si>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</si>
  <si>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</si>
  <si>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</si>
  <si>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</si>
  <si>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</si>
  <si>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</si>
  <si>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</si>
  <si>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</si>
  <si>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</si>
  <si>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</si>
  <si>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</si>
  <si>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</si>
  <si>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</si>
  <si>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</si>
  <si>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</si>
  <si>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</si>
  <si>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</si>
  <si>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</si>
  <si>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</si>
  <si>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</si>
  <si>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</si>
  <si>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</si>
  <si>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</si>
  <si>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</si>
  <si>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</si>
  <si>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</si>
  <si>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</si>
  <si>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</si>
  <si>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</si>
  <si>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</si>
  <si>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</si>
  <si>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</si>
  <si>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</si>
  <si>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</si>
  <si>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</si>
  <si>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</si>
  <si>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</si>
  <si>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</si>
  <si>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</si>
  <si>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</si>
  <si>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</si>
  <si>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</si>
  <si>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</si>
  <si>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</si>
  <si>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</si>
  <si>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</si>
  <si>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</si>
  <si>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</si>
  <si>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</si>
  <si>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</si>
  <si>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</si>
  <si>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</si>
  <si>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</si>
  <si>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</si>
  <si>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</si>
  <si>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</si>
  <si>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</si>
  <si>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</si>
  <si>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</si>
  <si>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</si>
  <si>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</si>
  <si>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</si>
  <si>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</si>
  <si>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</si>
  <si>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</si>
  <si>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</si>
  <si>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</si>
  <si>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</si>
  <si>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</si>
  <si>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</si>
  <si>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</si>
  <si>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</si>
  <si>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</si>
  <si>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</si>
  <si>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</si>
  <si>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</si>
  <si>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</si>
  <si>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</si>
  <si>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</si>
  <si>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</si>
  <si>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</si>
  <si>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</si>
  <si>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</si>
  <si>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</si>
  <si>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</si>
  <si>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</si>
  <si>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</si>
  <si>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</si>
  <si>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</si>
  <si>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</si>
  <si>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</si>
  <si>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</si>
  <si>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</si>
  <si>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</si>
  <si>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</si>
  <si>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</si>
  <si>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</si>
  <si>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</si>
  <si>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</si>
  <si>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</si>
  <si>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</si>
  <si>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</si>
  <si>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</si>
  <si>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</si>
  <si>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</si>
  <si>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</si>
  <si>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</si>
  <si>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</si>
  <si>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</si>
  <si>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</si>
  <si>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</si>
  <si>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</si>
  <si>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</si>
  <si>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</si>
  <si>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</si>
  <si>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</si>
  <si>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</si>
  <si>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</si>
  <si>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</si>
  <si>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</si>
  <si>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</si>
  <si>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</si>
  <si>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</si>
  <si>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</si>
  <si>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</si>
  <si>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</si>
  <si>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</si>
  <si>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</si>
  <si>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</si>
  <si>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</si>
  <si>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</si>
  <si>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</si>
  <si>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</si>
  <si>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</si>
  <si>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</si>
  <si>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</si>
  <si>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</si>
  <si>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</si>
  <si>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</si>
  <si>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</si>
  <si>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</si>
  <si>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</si>
  <si>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</si>
  <si>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</si>
  <si>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</si>
  <si>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</si>
  <si>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</si>
  <si>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</si>
  <si>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</si>
  <si>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</si>
  <si>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</si>
  <si>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</si>
  <si>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</si>
  <si>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</si>
  <si>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</si>
  <si>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</si>
  <si>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</si>
  <si>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</si>
  <si>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</si>
  <si>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</si>
  <si>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</si>
  <si>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</si>
  <si>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</si>
  <si>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</si>
  <si>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</si>
  <si>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</si>
  <si>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</si>
  <si>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</si>
  <si>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</si>
  <si>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</si>
  <si>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</si>
  <si>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</si>
  <si>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</si>
  <si>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</si>
  <si>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</si>
  <si>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</si>
  <si>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</si>
  <si>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</si>
  <si>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</si>
  <si>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</si>
  <si>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</si>
  <si>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</si>
  <si>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</si>
  <si>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</si>
  <si>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</si>
  <si>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</si>
  <si>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</si>
  <si>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</si>
  <si>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</si>
  <si>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</si>
  <si>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</si>
  <si>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</si>
  <si>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</si>
  <si>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</si>
  <si>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</si>
  <si>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</si>
  <si>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</si>
  <si>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</si>
  <si>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</si>
  <si>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</si>
  <si>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</si>
  <si>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</si>
  <si>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</si>
  <si>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</si>
  <si>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Binder</t>
  </si>
  <si>
    <t>optional Antioxidant</t>
  </si>
  <si>
    <r>
      <t>-0.8 bar</t>
    </r>
    <r>
      <rPr>
        <sz val="16"/>
        <color theme="1" tint="0.499984740745262"/>
        <rFont val="Calibri"/>
        <family val="2"/>
        <scheme val="minor"/>
      </rPr>
      <t xml:space="preserve"> (vacuum)</t>
    </r>
  </si>
  <si>
    <t>Allow to rest in the Chiller overnight to improve curing and binding.</t>
  </si>
  <si>
    <t>optional Flavour Boost</t>
  </si>
  <si>
    <t>One of dozens of knives at www.fiSundries.com</t>
  </si>
  <si>
    <t>100 m long, 23µ thin, smoke permeable</t>
  </si>
  <si>
    <t>6 - 12 RPM</t>
  </si>
  <si>
    <t>Transfer the tumbled Meat into Charging Trolleys or clean Meat Boxes.</t>
  </si>
  <si>
    <t>Spread Cellophane film into appropriate moulds.</t>
  </si>
  <si>
    <t xml:space="preserve">Place the cured meat into the moulds. </t>
  </si>
  <si>
    <t>Use the overlapping Cellophane film to cover the meat.</t>
  </si>
  <si>
    <t>Apply pressure to the content of the mould when closing the lid.</t>
  </si>
  <si>
    <t>Remove the tumbled and chilled Beef and place into Smoke House:</t>
  </si>
  <si>
    <t>Setting</t>
  </si>
  <si>
    <t>Temperature</t>
  </si>
  <si>
    <t>Redden</t>
  </si>
  <si>
    <t>45 °C</t>
  </si>
  <si>
    <t>60 min</t>
  </si>
  <si>
    <t>Steam Cook</t>
  </si>
  <si>
    <t>80 °C</t>
  </si>
  <si>
    <t>until core reaches 70 °C</t>
  </si>
  <si>
    <t>3rd</t>
  </si>
  <si>
    <t>Interval-Shower</t>
  </si>
  <si>
    <t>Cold</t>
  </si>
  <si>
    <t>20 min.</t>
  </si>
  <si>
    <t>15 sec on, 15 sec off</t>
  </si>
  <si>
    <t>Chill</t>
  </si>
  <si>
    <t>2 °C</t>
  </si>
  <si>
    <t>24 hrs</t>
  </si>
  <si>
    <t>This will give a fully cooked product.</t>
  </si>
  <si>
    <r>
      <t>1</t>
    </r>
    <r>
      <rPr>
        <sz val="16"/>
        <color rgb="FF3D3D3F"/>
        <rFont val="Calibri"/>
        <family val="2"/>
        <scheme val="minor"/>
      </rPr>
      <t>st</t>
    </r>
  </si>
  <si>
    <r>
      <t>2</t>
    </r>
    <r>
      <rPr>
        <sz val="16"/>
        <color rgb="FF3D3D3F"/>
        <rFont val="Calibri"/>
        <family val="2"/>
        <scheme val="minor"/>
      </rPr>
      <t>nd</t>
    </r>
  </si>
  <si>
    <r>
      <t>4</t>
    </r>
    <r>
      <rPr>
        <sz val="16"/>
        <color rgb="FF3D3D3F"/>
        <rFont val="Calibri"/>
        <family val="2"/>
        <scheme val="minor"/>
      </rPr>
      <t>th</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</si>
  <si>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(curing) salt value. The reason is the salt content of other ingredients used in the recipe.</t>
    </r>
  </si>
  <si>
    <t>3. Tumbling</t>
  </si>
  <si>
    <t>Place the Meat into the Tumbler and tumble as follows:</t>
  </si>
  <si>
    <t>www.fiRecipes.com/BeefBaconTumbled</t>
  </si>
  <si>
    <t>4. Storing</t>
  </si>
  <si>
    <t>5. Forming</t>
  </si>
  <si>
    <t>6. Cooking Programme</t>
  </si>
  <si>
    <r>
      <t xml:space="preserve">Beef Bacon </t>
    </r>
    <r>
      <rPr>
        <i/>
        <sz val="24"/>
        <color theme="0" tint="-0.499984740745262"/>
        <rFont val="Calibri"/>
        <family val="2"/>
        <scheme val="minor"/>
      </rPr>
      <t>Premium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</si>
</sst>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4"/>
      <color rgb="FF000000"/>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27">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Alignment="1">
      <alignment horizontal="center" vertical="top" wrapText="1"/>
    </xf>
    <xf numFmtId="0" fontId="45" fillId="3" borderId="0" xfId="0" applyFont="1" applyFill="1" applyAlignment="1" applyProtection="1">
      <alignment horizontal="left" vertical="top"/>
      <protection locked="0"/>
    </xf>
    <xf numFmtId="3" fontId="59"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5" fillId="12" borderId="0" xfId="0" applyNumberFormat="1" applyFont="1" applyFill="1" applyAlignment="1">
      <alignment horizontal="center" vertical="top" wrapText="1"/>
    </xf>
    <xf numFmtId="0" fontId="0" fillId="12" borderId="0" xfId="0" applyFill="1"/>
    <xf numFmtId="3" fontId="38"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3"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2" fillId="3" borderId="0" xfId="0" applyFont="1" applyFill="1"/>
    <xf numFmtId="0" fontId="62"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25" fillId="5" borderId="2" xfId="0" applyFont="1" applyFill="1" applyBorder="1" applyAlignment="1">
      <alignment horizontal="left" vertical="center"/>
    </xf>
    <xf numFmtId="49" fontId="67"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Alignment="1">
      <alignment horizontal="center" vertical="top" wrapText="1"/>
    </xf>
    <xf numFmtId="49" fontId="75"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9" fillId="3" borderId="21" xfId="0" applyNumberFormat="1" applyFont="1" applyFill="1" applyBorder="1" applyAlignment="1">
      <alignment horizontal="left" vertical="top"/>
    </xf>
    <xf numFmtId="0" fontId="7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3" fillId="3" borderId="0" xfId="0" applyFont="1" applyFill="1" applyAlignment="1">
      <alignment vertical="center" wrapText="1"/>
    </xf>
    <xf numFmtId="0" fontId="73"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7" fillId="6" borderId="0" xfId="0" applyNumberFormat="1" applyFont="1" applyFill="1" applyAlignment="1" applyProtection="1">
      <alignment horizontal="center" vertical="center"/>
      <protection locked="0"/>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94" fillId="3" borderId="1" xfId="0" applyNumberFormat="1" applyFont="1" applyFill="1" applyBorder="1" applyAlignment="1">
      <alignment horizontal="right" vertical="center"/>
    </xf>
    <xf numFmtId="49" fontId="94" fillId="3" borderId="0" xfId="0" applyNumberFormat="1" applyFont="1" applyFill="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0" xfId="0" applyNumberFormat="1" applyFont="1" applyFill="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40" fillId="3" borderId="0" xfId="0" applyFont="1" applyFill="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49" fontId="71" fillId="5" borderId="26" xfId="0" applyNumberFormat="1" applyFont="1" applyFill="1" applyBorder="1" applyAlignment="1">
      <alignment horizontal="center" vertical="top"/>
    </xf>
    <xf numFmtId="0" fontId="77" fillId="0" borderId="0" xfId="0" applyFont="1"/>
    <xf numFmtId="0" fontId="71" fillId="0" borderId="0" xfId="0" applyFont="1" applyAlignment="1">
      <alignment horizontal="center" vertical="top"/>
    </xf>
    <xf numFmtId="0" fontId="40" fillId="3" borderId="2" xfId="0" applyFont="1" applyFill="1" applyBorder="1" applyAlignment="1">
      <alignment horizontal="right" vertical="center"/>
    </xf>
    <xf numFmtId="0" fontId="76" fillId="0" borderId="0" xfId="0" applyFont="1"/>
    <xf numFmtId="0" fontId="37" fillId="3" borderId="0" xfId="0" applyFont="1" applyFill="1" applyAlignment="1">
      <alignment horizontal="left" vertical="top" wrapText="1"/>
    </xf>
    <xf numFmtId="0" fontId="70" fillId="5" borderId="27" xfId="0" applyFont="1" applyFill="1" applyBorder="1" applyAlignment="1">
      <alignment horizontal="left" vertical="top" wrapText="1"/>
    </xf>
    <xf numFmtId="0" fontId="70" fillId="5" borderId="0" xfId="0" applyFont="1" applyFill="1" applyAlignment="1">
      <alignment horizontal="left" vertical="top" wrapText="1"/>
    </xf>
    <xf numFmtId="169" fontId="65" fillId="0" borderId="0" xfId="0" applyNumberFormat="1" applyFont="1" applyAlignment="1">
      <alignment horizontal="left"/>
    </xf>
    <xf numFmtId="0" fontId="70" fillId="0" borderId="0" xfId="0" applyFont="1" applyAlignment="1">
      <alignment vertical="top" wrapText="1"/>
    </xf>
    <xf numFmtId="0" fontId="33" fillId="3" borderId="0" xfId="0" applyFont="1" applyFill="1" applyAlignment="1">
      <alignment horizontal="center" vertical="top"/>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wrapText="1"/>
    </xf>
    <xf numFmtId="49" fontId="75" fillId="16" borderId="0" xfId="0" applyNumberFormat="1" applyFont="1" applyFill="1" applyAlignment="1">
      <alignment vertical="center" wrapText="1"/>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5" fillId="0" borderId="0" xfId="0" applyFont="1" applyAlignment="1">
      <alignment vertical="top" wrapText="1"/>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49" fontId="76" fillId="5" borderId="0" xfId="0" applyNumberFormat="1" applyFont="1" applyFill="1" applyAlignment="1">
      <alignment horizontal="left" vertical="top" wrapText="1"/>
    </xf>
    <xf numFmtId="0" fontId="71" fillId="3" borderId="23" xfId="0" applyFont="1" applyFill="1" applyBorder="1" applyAlignment="1">
      <alignment horizontal="center" vertical="top"/>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49" fontId="76" fillId="16" borderId="0" xfId="0" applyNumberFormat="1" applyFont="1" applyFill="1" applyAlignment="1">
      <alignment vertical="center" wrapText="1"/>
    </xf>
    <xf numFmtId="49" fontId="70" fillId="16" borderId="0" xfId="0" applyNumberFormat="1" applyFont="1" applyFill="1" applyAlignment="1">
      <alignment vertical="center" wrapText="1"/>
    </xf>
    <xf numFmtId="0" fontId="77" fillId="16" borderId="0" xfId="0" applyFont="1" applyFill="1" applyAlignment="1">
      <alignment horizontal="right"/>
    </xf>
    <xf numFmtId="0" fontId="77" fillId="16" borderId="27" xfId="0" applyFont="1" applyFill="1" applyBorder="1" applyAlignment="1">
      <alignment horizontal="left"/>
    </xf>
    <xf numFmtId="49" fontId="76" fillId="5" borderId="0" xfId="0" applyNumberFormat="1" applyFont="1" applyFill="1" applyAlignment="1">
      <alignment vertical="top" wrapText="1"/>
    </xf>
    <xf numFmtId="49" fontId="75" fillId="5" borderId="0" xfId="0" applyNumberFormat="1" applyFont="1" applyFill="1" applyAlignment="1">
      <alignment vertical="center" wrapText="1"/>
    </xf>
    <xf numFmtId="49" fontId="75" fillId="5" borderId="27" xfId="0" applyNumberFormat="1" applyFont="1" applyFill="1" applyBorder="1" applyAlignment="1">
      <alignment vertical="top" wrapText="1"/>
    </xf>
    <xf numFmtId="0" fontId="33" fillId="5" borderId="26" xfId="0" applyFont="1" applyFill="1" applyBorder="1" applyAlignment="1">
      <alignment horizontal="center" vertical="top"/>
    </xf>
    <xf numFmtId="49" fontId="75" fillId="5" borderId="44" xfId="0" applyNumberFormat="1" applyFont="1" applyFill="1" applyBorder="1" applyAlignment="1">
      <alignment horizontal="left" vertical="center" wrapText="1"/>
    </xf>
    <xf numFmtId="49" fontId="75" fillId="5" borderId="44" xfId="0" applyNumberFormat="1" applyFont="1" applyFill="1" applyBorder="1" applyAlignment="1">
      <alignment vertical="center" wrapText="1"/>
    </xf>
    <xf numFmtId="49" fontId="81" fillId="5" borderId="45" xfId="0" applyNumberFormat="1" applyFont="1" applyFill="1" applyBorder="1" applyAlignment="1">
      <alignment horizontal="left" vertical="center" wrapText="1"/>
    </xf>
    <xf numFmtId="49" fontId="49" fillId="5" borderId="45" xfId="0" applyNumberFormat="1" applyFont="1" applyFill="1" applyBorder="1" applyAlignment="1">
      <alignment vertical="center" wrapText="1"/>
    </xf>
    <xf numFmtId="49" fontId="75" fillId="16" borderId="44" xfId="0" applyNumberFormat="1" applyFont="1" applyFill="1" applyBorder="1" applyAlignment="1">
      <alignment vertical="top" wrapText="1"/>
    </xf>
    <xf numFmtId="49" fontId="75" fillId="16" borderId="44" xfId="0" applyNumberFormat="1" applyFont="1" applyFill="1" applyBorder="1" applyAlignment="1">
      <alignment vertical="center" wrapText="1"/>
    </xf>
    <xf numFmtId="49" fontId="75" fillId="16" borderId="44" xfId="0" applyNumberFormat="1" applyFont="1" applyFill="1" applyBorder="1" applyAlignment="1">
      <alignment horizontal="left" vertical="center" wrapText="1" indent="2"/>
    </xf>
    <xf numFmtId="0" fontId="77" fillId="16" borderId="44" xfId="0" applyFont="1" applyFill="1" applyBorder="1" applyAlignment="1">
      <alignment horizontal="right"/>
    </xf>
    <xf numFmtId="49" fontId="75" fillId="16" borderId="0" xfId="0" applyNumberFormat="1" applyFont="1" applyFill="1" applyAlignment="1">
      <alignment horizontal="left" vertical="top" wrapText="1"/>
    </xf>
    <xf numFmtId="49" fontId="75" fillId="16" borderId="0" xfId="0" applyNumberFormat="1" applyFont="1" applyFill="1" applyAlignment="1">
      <alignment horizontal="left" vertical="center" wrapText="1" indent="2"/>
    </xf>
    <xf numFmtId="49" fontId="75" fillId="16" borderId="0" xfId="0" applyNumberFormat="1" applyFont="1" applyFill="1" applyAlignment="1">
      <alignment vertical="top"/>
    </xf>
    <xf numFmtId="49" fontId="75" fillId="16" borderId="0" xfId="0" applyNumberFormat="1" applyFont="1" applyFill="1" applyAlignment="1">
      <alignment horizontal="left" vertical="top" wrapText="1" indent="2"/>
    </xf>
    <xf numFmtId="49" fontId="96" fillId="16" borderId="0" xfId="0" applyNumberFormat="1" applyFont="1" applyFill="1" applyAlignment="1">
      <alignment vertical="center" wrapText="1"/>
    </xf>
    <xf numFmtId="49" fontId="9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indent="4"/>
    </xf>
    <xf numFmtId="49" fontId="75" fillId="16" borderId="45" xfId="0" applyNumberFormat="1" applyFont="1" applyFill="1" applyBorder="1" applyAlignment="1">
      <alignment vertical="top" wrapText="1"/>
    </xf>
    <xf numFmtId="49" fontId="70"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49" fontId="75" fillId="16" borderId="45" xfId="0" applyNumberFormat="1" applyFont="1" applyFill="1" applyBorder="1" applyAlignment="1">
      <alignment horizontal="left" vertical="center" wrapText="1" indent="2"/>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0" fontId="70" fillId="3" borderId="0" xfId="0" applyFont="1" applyFill="1" applyAlignment="1">
      <alignment horizontal="left" vertical="top" wrapText="1"/>
    </xf>
    <xf numFmtId="49" fontId="28" fillId="3" borderId="0" xfId="0" applyNumberFormat="1" applyFont="1" applyFill="1" applyAlignment="1">
      <alignment horizontal="left" vertical="center"/>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49" fontId="75" fillId="5" borderId="44" xfId="0" applyNumberFormat="1" applyFont="1" applyFill="1" applyBorder="1" applyAlignment="1">
      <alignment horizontal="left" vertical="top" wrapText="1"/>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0" fontId="97" fillId="0" borderId="0" xfId="4" applyFont="1" applyAlignment="1" applyProtection="1">
      <alignment horizontal="left"/>
      <protection locked="0"/>
    </xf>
    <xf numFmtId="0" fontId="98" fillId="0" borderId="0" xfId="0" applyFont="1" applyAlignment="1" applyProtection="1">
      <alignment horizontal="left"/>
      <protection locked="0"/>
    </xf>
    <xf numFmtId="0" fontId="78" fillId="10" borderId="43" xfId="0" applyFont="1" applyFill="1" applyBorder="1" applyAlignment="1">
      <alignment horizontal="center" vertical="center" wrapText="1"/>
    </xf>
    <xf numFmtId="0" fontId="54" fillId="0" borderId="0" xfId="0" applyFont="1" applyAlignment="1">
      <alignment horizontal="center" wrapText="1"/>
    </xf>
    <xf numFmtId="0" fontId="54" fillId="0" borderId="28" xfId="0" applyFont="1" applyBorder="1" applyAlignment="1">
      <alignment horizontal="center" wrapText="1"/>
    </xf>
    <xf numFmtId="0" fontId="91" fillId="3" borderId="0" xfId="0" applyFont="1" applyFill="1" applyAlignment="1">
      <alignment horizontal="left" vertical="top" wrapText="1"/>
    </xf>
    <xf numFmtId="3" fontId="25" fillId="3" borderId="0" xfId="0" applyNumberFormat="1" applyFont="1" applyFill="1" applyAlignment="1">
      <alignment horizontal="left" vertical="center"/>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3" fontId="26" fillId="3" borderId="0" xfId="0" applyNumberFormat="1" applyFont="1" applyFill="1" applyAlignment="1">
      <alignment horizontal="center" vertical="top"/>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0" fontId="26" fillId="4" borderId="0" xfId="0" applyFont="1" applyFill="1" applyAlignment="1">
      <alignment horizontal="center" vertical="center"/>
    </xf>
    <xf numFmtId="0" fontId="90" fillId="4" borderId="0" xfId="0" applyFont="1" applyFill="1" applyAlignment="1">
      <alignment horizontal="center" vertical="center"/>
    </xf>
    <xf numFmtId="0" fontId="29" fillId="4" borderId="0" xfId="0" applyFont="1" applyFill="1" applyAlignment="1">
      <alignment horizontal="center" vertical="center"/>
    </xf>
    <xf numFmtId="3" fontId="58" fillId="12" borderId="0" xfId="0" applyNumberFormat="1" applyFont="1" applyFill="1" applyAlignment="1">
      <alignment horizontal="left" vertical="center"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0" fontId="70" fillId="3" borderId="27" xfId="0" applyFont="1" applyFill="1" applyBorder="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3" fontId="69" fillId="3" borderId="22" xfId="0" applyNumberFormat="1" applyFont="1" applyFill="1" applyBorder="1" applyAlignment="1">
      <alignment horizontal="left" vertical="top"/>
    </xf>
    <xf numFmtId="49" fontId="81" fillId="5" borderId="45" xfId="0" applyNumberFormat="1" applyFont="1" applyFill="1" applyBorder="1" applyAlignment="1">
      <alignment horizontal="left" vertical="center" wrapText="1"/>
    </xf>
    <xf numFmtId="49" fontId="49" fillId="5" borderId="45" xfId="0" applyNumberFormat="1" applyFont="1" applyFill="1" applyBorder="1" applyAlignment="1">
      <alignment horizontal="left" vertical="top" wrapText="1"/>
    </xf>
    <xf numFmtId="0" fontId="37" fillId="5" borderId="0" xfId="0" applyFont="1" applyFill="1" applyAlignment="1">
      <alignment horizontal="left" vertical="top" wrapText="1"/>
    </xf>
    <xf numFmtId="0" fontId="37" fillId="5" borderId="27" xfId="0" applyFont="1" applyFill="1" applyBorder="1" applyAlignment="1">
      <alignment horizontal="left" vertical="top" wrapText="1"/>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49" fontId="76" fillId="5" borderId="0" xfId="0" applyNumberFormat="1" applyFont="1" applyFill="1" applyAlignment="1">
      <alignment horizontal="left" vertical="top" wrapText="1"/>
    </xf>
    <xf numFmtId="49" fontId="75" fillId="5" borderId="44" xfId="0" applyNumberFormat="1" applyFont="1" applyFill="1" applyBorder="1" applyAlignment="1">
      <alignment horizontal="left" vertical="center" wrapText="1"/>
    </xf>
    <xf numFmtId="0" fontId="75" fillId="0" borderId="0" xfId="0" applyFont="1"/>
    <xf numFmtId="0" fontId="76" fillId="0" borderId="0" xfId="0" applyFont="1"/>
    <xf numFmtId="0" fontId="70" fillId="0" borderId="0" xfId="0" applyFont="1" applyAlignment="1">
      <alignment horizontal="left" vertical="top"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45" xfId="0" applyNumberFormat="1" applyFont="1" applyFill="1" applyBorder="1" applyAlignment="1">
      <alignment horizontal="left" vertic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0" fontId="26" fillId="5" borderId="0" xfId="0" applyFont="1" applyFill="1" applyAlignment="1">
      <alignment horizontal="center" vertical="center"/>
    </xf>
    <xf numFmtId="0" fontId="26" fillId="10" borderId="0" xfId="0" applyFont="1" applyFill="1" applyAlignment="1">
      <alignment horizontal="center" vertical="center"/>
    </xf>
    <xf numFmtId="0" fontId="71" fillId="10" borderId="0" xfId="0" applyFont="1" applyFill="1" applyAlignment="1">
      <alignment horizontal="left" vertical="center"/>
    </xf>
    <xf numFmtId="169" fontId="64" fillId="0" borderId="0" xfId="0" applyNumberFormat="1" applyFont="1" applyAlignment="1">
      <alignment horizontal="left"/>
    </xf>
    <xf numFmtId="3" fontId="25" fillId="3" borderId="0" xfId="0" applyNumberFormat="1" applyFont="1" applyFill="1" applyAlignment="1">
      <alignment horizontal="right" vertical="center"/>
    </xf>
    <xf numFmtId="49" fontId="25" fillId="3" borderId="19" xfId="0" applyNumberFormat="1" applyFont="1" applyFill="1" applyBorder="1" applyAlignment="1">
      <alignment horizontal="right"/>
    </xf>
    <xf numFmtId="0" fontId="70" fillId="11" borderId="0" xfId="0" applyFont="1" applyFill="1" applyAlignment="1">
      <alignment horizontal="left" vertical="top" wrapText="1"/>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5" fillId="3" borderId="1" xfId="0" applyNumberFormat="1" applyFont="1" applyFill="1" applyBorder="1" applyAlignment="1">
      <alignment horizontal="left" vertical="center"/>
    </xf>
    <xf numFmtId="3" fontId="60" fillId="12" borderId="0" xfId="0" applyNumberFormat="1" applyFont="1" applyFill="1" applyAlignment="1">
      <alignment horizontal="center" vertical="center"/>
    </xf>
    <xf numFmtId="3" fontId="56" fillId="12" borderId="0" xfId="0" applyNumberFormat="1" applyFont="1" applyFill="1" applyAlignment="1">
      <alignment horizontal="center" vertical="center"/>
    </xf>
    <xf numFmtId="0" fontId="26" fillId="12" borderId="0" xfId="0" applyFont="1" applyFill="1" applyAlignment="1">
      <alignment horizontal="center"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65" fillId="0" borderId="0" xfId="0" applyFont="1" applyAlignment="1">
      <alignment horizontal="left"/>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78" fillId="10" borderId="0" xfId="0" applyFont="1" applyFill="1" applyAlignment="1">
      <alignment horizontal="center" vertical="center" wrapText="1"/>
    </xf>
    <xf numFmtId="0" fontId="82"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41" fillId="4" borderId="0" xfId="0" applyFont="1" applyFill="1" applyAlignment="1">
      <alignment horizontal="center" vertical="center"/>
    </xf>
    <xf numFmtId="0" fontId="62" fillId="3" borderId="18" xfId="0" applyFont="1" applyFill="1" applyBorder="1" applyAlignment="1">
      <alignment horizontal="center"/>
    </xf>
    <xf numFmtId="0" fontId="62" fillId="3" borderId="0" xfId="0" applyFont="1" applyFill="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406400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330200</xdr:colOff>
      <xdr:row>0</xdr:row>
      <xdr:rowOff>1</xdr:rowOff>
    </xdr:from>
    <xdr:to>
      <xdr:col>13</xdr:col>
      <xdr:colOff>292100</xdr:colOff>
      <xdr:row>7</xdr:row>
      <xdr:rowOff>19961</xdr:rowOff>
    </xdr:to>
    <xdr:pic>
      <xdr:nvPicPr>
        <xdr:cNvPr id="2" name="Grafik 1">
          <a:extLst>
            <a:ext uri="{FF2B5EF4-FFF2-40B4-BE49-F238E27FC236}">
              <a16:creationId xmlns:a16="http://schemas.microsoft.com/office/drawing/2014/main" id="{DE1FB280-1327-8647-9CBF-4BBC7DA39D72}"/>
            </a:ext>
          </a:extLst>
        </xdr:cNvPr>
        <xdr:cNvPicPr>
          <a:picLocks noChangeAspect="1"/>
        </xdr:cNvPicPr>
      </xdr:nvPicPr>
      <xdr:blipFill rotWithShape="1">
        <a:blip xmlns:r="http://schemas.openxmlformats.org/officeDocument/2006/relationships" r:embed="rId2"/>
        <a:srcRect l="5392" t="16993" r="2288" b="18300"/>
        <a:stretch/>
      </xdr:blipFill>
      <xdr:spPr>
        <a:xfrm>
          <a:off x="6007100" y="1"/>
          <a:ext cx="4241800" cy="2229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Bacon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292"/>
  <sheetViews>
    <sheetView showGridLines="0" tabSelected="1" zoomScaleNormal="100" workbookViewId="0">
      <selection activeCell="M9" sqref="M9"/>
    </sheetView>
  </sheetViews>
  <sheetFormatPr baseColWidth="10" defaultColWidth="10.83203125" defaultRowHeight="19" x14ac:dyDescent="0.25"/>
  <cols>
    <col min="2" max="2" width="4.1640625" style="84" customWidth="1"/>
    <col min="3" max="3" width="5.6640625" customWidth="1"/>
    <col min="4" max="4" width="4.33203125" style="69" customWidth="1"/>
    <col min="5" max="5" width="21.6640625" style="69" customWidth="1"/>
    <col min="6" max="6" width="10.5" style="69" bestFit="1" customWidth="1"/>
    <col min="7" max="7" width="2.33203125" style="69" bestFit="1" customWidth="1"/>
    <col min="8" max="8" width="15" style="69" customWidth="1"/>
    <col min="9" max="9" width="23.33203125" style="69" customWidth="1"/>
    <col min="10" max="10" width="3.5" style="76" bestFit="1" customWidth="1"/>
    <col min="11" max="11" width="13.33203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82" bestFit="1" customWidth="1"/>
    <col min="20" max="20" width="13.33203125" style="82" customWidth="1"/>
    <col min="21" max="21" width="15" style="82" customWidth="1"/>
    <col min="22" max="22" width="30.6640625" customWidth="1"/>
    <col min="23" max="23" width="24.83203125" bestFit="1" customWidth="1"/>
  </cols>
  <sheetData>
    <row r="1" spans="2:23" ht="24" x14ac:dyDescent="0.2">
      <c r="J1" s="403"/>
      <c r="K1" s="403"/>
      <c r="L1" s="403"/>
      <c r="M1" s="403"/>
      <c r="N1" s="70"/>
      <c r="Q1" t="s">
        <v>183</v>
      </c>
    </row>
    <row r="2" spans="2:23" ht="24" x14ac:dyDescent="0.2">
      <c r="J2" s="165"/>
      <c r="K2" s="165"/>
      <c r="L2" s="165"/>
      <c r="M2" s="165"/>
      <c r="N2" s="70"/>
    </row>
    <row r="3" spans="2:23" ht="24" x14ac:dyDescent="0.2">
      <c r="J3" s="165"/>
      <c r="K3" s="165"/>
      <c r="L3" s="165"/>
      <c r="M3" s="165"/>
      <c r="N3" s="70"/>
    </row>
    <row r="4" spans="2:23" ht="24" x14ac:dyDescent="0.2">
      <c r="J4" s="165"/>
      <c r="K4" s="165"/>
      <c r="L4" s="165"/>
      <c r="M4" s="165"/>
      <c r="N4" s="70"/>
    </row>
    <row r="5" spans="2:23" ht="21" customHeight="1" x14ac:dyDescent="0.35">
      <c r="B5" s="408" t="s">
        <v>3087</v>
      </c>
      <c r="C5" s="408"/>
      <c r="D5" s="408"/>
      <c r="E5" s="408"/>
      <c r="F5" s="278" t="s">
        <v>66</v>
      </c>
      <c r="G5" s="409" t="s">
        <v>3020</v>
      </c>
      <c r="H5" s="409"/>
      <c r="I5" s="409"/>
      <c r="J5" s="388" t="s">
        <v>3101</v>
      </c>
      <c r="K5" s="388"/>
      <c r="L5" s="388"/>
      <c r="M5" s="388"/>
      <c r="N5" s="388"/>
      <c r="O5" s="336" t="s">
        <v>3120</v>
      </c>
      <c r="P5" s="336"/>
      <c r="Q5" s="336"/>
      <c r="R5" s="336"/>
    </row>
    <row r="6" spans="2:23" ht="32" customHeight="1" thickBot="1" x14ac:dyDescent="0.4">
      <c r="B6" s="412" t="s">
        <v>3206</v>
      </c>
      <c r="C6" s="412"/>
      <c r="D6" s="412"/>
      <c r="E6" s="412"/>
      <c r="F6" s="412"/>
      <c r="G6" s="412"/>
      <c r="H6" s="412"/>
      <c r="I6" s="412"/>
      <c r="J6" s="412"/>
      <c r="K6" s="412"/>
      <c r="L6" s="412"/>
      <c r="M6" s="412"/>
      <c r="N6" s="78"/>
      <c r="O6" s="337"/>
      <c r="P6" s="337"/>
      <c r="Q6" s="337"/>
      <c r="R6" s="337"/>
    </row>
    <row r="7" spans="2:23" ht="25" customHeight="1" thickBot="1" x14ac:dyDescent="0.4">
      <c r="B7" s="333" t="s">
        <v>3202</v>
      </c>
      <c r="C7" s="334"/>
      <c r="D7" s="334"/>
      <c r="E7" s="334"/>
      <c r="F7" s="334"/>
      <c r="G7" s="334"/>
      <c r="H7" s="334"/>
      <c r="I7" s="334"/>
      <c r="J7" s="334"/>
      <c r="K7" s="334"/>
      <c r="L7" s="334"/>
      <c r="M7" s="334"/>
      <c r="N7" s="334"/>
      <c r="O7" s="335" t="s">
        <v>3136</v>
      </c>
      <c r="P7" s="335"/>
      <c r="Q7" s="335"/>
      <c r="R7" s="335"/>
    </row>
    <row r="8" spans="2:23" s="7" customFormat="1" ht="25" customHeight="1" thickBot="1" x14ac:dyDescent="0.3">
      <c r="B8" s="404" t="s">
        <v>3127</v>
      </c>
      <c r="C8" s="404"/>
      <c r="D8" s="404"/>
      <c r="E8" s="404"/>
      <c r="F8" s="404"/>
      <c r="G8" s="404"/>
      <c r="H8" s="404"/>
      <c r="I8" s="404"/>
      <c r="J8" s="404"/>
      <c r="K8" s="404"/>
      <c r="L8" s="404"/>
      <c r="M8" s="404"/>
      <c r="N8" s="404"/>
      <c r="O8" s="385" t="s">
        <v>3147</v>
      </c>
      <c r="P8" s="385"/>
      <c r="Q8" s="385" t="s">
        <v>3040</v>
      </c>
      <c r="R8" s="385"/>
      <c r="S8" s="166"/>
      <c r="T8" s="166"/>
      <c r="U8" s="166"/>
    </row>
    <row r="9" spans="2:23" s="71" customFormat="1" ht="25" customHeight="1" thickBot="1" x14ac:dyDescent="0.3">
      <c r="B9" s="405" t="str">
        <f>"Lean "&amp;IF(MeatType="Beef","Beef",IF(MeatType="Chicken","Chicken",IF(MeatType="Turkey","Turkey",IF(MeatType="Pork","Pork",IF(MeatType="Lamb","Lamb","Meat")))))</f>
        <v>Lean Beef</v>
      </c>
      <c r="C9" s="405"/>
      <c r="D9" s="405"/>
      <c r="E9" s="405"/>
      <c r="F9" s="405"/>
      <c r="G9" s="405"/>
      <c r="H9" s="405"/>
      <c r="I9" s="405"/>
      <c r="J9" s="405"/>
      <c r="K9" s="263"/>
      <c r="L9" s="263"/>
      <c r="M9" s="264">
        <v>100</v>
      </c>
      <c r="N9" s="265" t="s">
        <v>0</v>
      </c>
      <c r="O9" s="266">
        <v>5</v>
      </c>
      <c r="P9" s="267" t="str">
        <f>IF(O9&lt;&gt;"","EUR","")</f>
        <v>EUR</v>
      </c>
      <c r="Q9" s="268">
        <f>IF(O9&lt;&gt;"",ROUND(O9*M9,2),"")</f>
        <v>500</v>
      </c>
      <c r="R9" s="269" t="str">
        <f>IF(Q9&lt;&gt;"","EUR","")</f>
        <v>EUR</v>
      </c>
      <c r="S9" s="220"/>
      <c r="T9" s="166"/>
      <c r="U9" s="166"/>
      <c r="V9" s="7"/>
      <c r="W9" s="7"/>
    </row>
    <row r="10" spans="2:23" s="7" customFormat="1" ht="21" x14ac:dyDescent="0.25">
      <c r="B10" s="410" t="s">
        <v>1497</v>
      </c>
      <c r="C10" s="410"/>
      <c r="D10" s="410"/>
      <c r="E10" s="410"/>
      <c r="F10" s="410"/>
      <c r="G10" s="410"/>
      <c r="H10" s="410"/>
      <c r="I10" s="411"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10% - 20%</v>
      </c>
      <c r="J10" s="411"/>
      <c r="K10" s="411"/>
      <c r="L10" s="273" t="s">
        <v>1495</v>
      </c>
      <c r="M10" s="261">
        <v>0.2</v>
      </c>
      <c r="N10" s="262" t="s">
        <v>1498</v>
      </c>
      <c r="O10" s="196"/>
      <c r="P10" s="9"/>
      <c r="Q10" s="10"/>
      <c r="R10" s="11"/>
      <c r="S10" s="166"/>
      <c r="T10" s="166"/>
      <c r="U10" s="166"/>
    </row>
    <row r="11" spans="2:23" s="7" customFormat="1" ht="21" customHeight="1" thickBot="1" x14ac:dyDescent="0.3">
      <c r="B11" s="410" t="s">
        <v>3150</v>
      </c>
      <c r="C11" s="410"/>
      <c r="D11" s="410"/>
      <c r="E11" s="410"/>
      <c r="F11" s="410"/>
      <c r="G11" s="410"/>
      <c r="H11" s="410"/>
      <c r="I11" s="390"/>
      <c r="J11" s="390"/>
      <c r="K11" s="390"/>
      <c r="L11" s="72" t="s">
        <v>1495</v>
      </c>
      <c r="M11" s="73">
        <v>0.02</v>
      </c>
      <c r="N11" s="260" t="s">
        <v>1498</v>
      </c>
      <c r="O11" s="196"/>
      <c r="P11" s="9"/>
      <c r="Q11" s="10"/>
      <c r="R11" s="11"/>
      <c r="S11" s="384" t="s">
        <v>3133</v>
      </c>
      <c r="T11" s="384"/>
      <c r="U11" s="166"/>
    </row>
    <row r="12" spans="2:23" s="7" customFormat="1" ht="21" x14ac:dyDescent="0.25">
      <c r="B12" s="406" t="str">
        <f>"Water / Flaked Ice"</f>
        <v>Water / Flaked Ice</v>
      </c>
      <c r="C12" s="406"/>
      <c r="D12" s="406"/>
      <c r="E12" s="406"/>
      <c r="F12" s="406"/>
      <c r="G12" s="406"/>
      <c r="H12" s="406"/>
      <c r="I12" s="92"/>
      <c r="J12" s="89"/>
      <c r="K12" s="90">
        <f>Water2/Meat2</f>
        <v>0.1237</v>
      </c>
      <c r="L12" s="90"/>
      <c r="M12" s="91">
        <f>Meat2*YieldIncrease-SUM(M15:M21)</f>
        <v>12.370000000000001</v>
      </c>
      <c r="N12" s="92" t="str">
        <f>IF(M12&lt;&gt;"","kg","")</f>
        <v>kg</v>
      </c>
      <c r="O12" s="195">
        <v>0.01</v>
      </c>
      <c r="P12" s="15" t="str">
        <f>IF(O12&lt;&gt;"","EUR","")</f>
        <v>EUR</v>
      </c>
      <c r="Q12" s="12">
        <f>IF(O12&lt;&gt;"",ROUND(O12*M12,2),"")</f>
        <v>0.12</v>
      </c>
      <c r="R12" s="14" t="str">
        <f>IF(Q12&lt;&gt;"","EUR","")</f>
        <v>EUR</v>
      </c>
      <c r="S12" s="384"/>
      <c r="T12" s="384"/>
      <c r="U12" s="166"/>
    </row>
    <row r="13" spans="2:23" s="71" customFormat="1" ht="25" customHeight="1" x14ac:dyDescent="0.25">
      <c r="B13" s="407" t="s">
        <v>87</v>
      </c>
      <c r="C13" s="407"/>
      <c r="D13" s="407"/>
      <c r="E13" s="407"/>
      <c r="F13" s="407"/>
      <c r="G13" s="407"/>
      <c r="H13" s="407"/>
      <c r="I13" s="407"/>
      <c r="J13" s="407"/>
      <c r="K13" s="93">
        <f>MeatAndWater2/Meat2</f>
        <v>1.1237000000000001</v>
      </c>
      <c r="L13" s="93"/>
      <c r="M13" s="94">
        <f>SUM(Meat2,Water2)</f>
        <v>112.37</v>
      </c>
      <c r="N13" s="95" t="s">
        <v>0</v>
      </c>
      <c r="O13" s="194" t="str">
        <f>"ø "&amp;ROUND(Q13/SUM(Meat2,M12),3)</f>
        <v>ø 4,451</v>
      </c>
      <c r="P13" s="74" t="str">
        <f>P15</f>
        <v>EUR</v>
      </c>
      <c r="Q13" s="75">
        <f>SUM(Q9:Q12)</f>
        <v>500.12</v>
      </c>
      <c r="R13" s="74" t="str">
        <f>R15</f>
        <v>EUR</v>
      </c>
      <c r="S13" s="384"/>
      <c r="T13" s="384"/>
      <c r="U13" s="166"/>
      <c r="V13" s="7"/>
      <c r="W13" s="7"/>
    </row>
    <row r="14" spans="2:23" s="13" customFormat="1" ht="25" customHeight="1" x14ac:dyDescent="0.25">
      <c r="B14" s="347" t="s">
        <v>34</v>
      </c>
      <c r="C14" s="347"/>
      <c r="D14" s="96" t="s">
        <v>44</v>
      </c>
      <c r="E14" s="348" t="s">
        <v>3163</v>
      </c>
      <c r="F14" s="349"/>
      <c r="G14" s="349"/>
      <c r="H14" s="349"/>
      <c r="I14" s="349"/>
      <c r="J14" s="349"/>
      <c r="K14" s="347" t="s">
        <v>88</v>
      </c>
      <c r="L14" s="347"/>
      <c r="M14" s="347"/>
      <c r="N14" s="347"/>
      <c r="O14" s="386" t="s">
        <v>3146</v>
      </c>
      <c r="P14" s="386"/>
      <c r="Q14" s="386" t="s">
        <v>3040</v>
      </c>
      <c r="R14" s="386"/>
      <c r="S14" s="383" t="s">
        <v>1467</v>
      </c>
      <c r="T14" s="383"/>
      <c r="U14" s="166"/>
      <c r="V14" s="7"/>
    </row>
    <row r="15" spans="2:23" ht="21" customHeight="1" x14ac:dyDescent="0.25">
      <c r="B15" s="396">
        <v>11023</v>
      </c>
      <c r="C15" s="396"/>
      <c r="D15" s="97" t="str">
        <f>IF(ISNA(VLOOKUP(B15,AllData,2,0)),"",HYPERLINK(VLOOKUP(B15,AllData,7,0),"📌"))</f>
        <v>📌</v>
      </c>
      <c r="E15" s="339" t="str">
        <f t="shared" ref="E15:E20" si="0">IF(ISNA(VLOOKUP(B15,AllData,2)),"",VLOOKUP(B15,AllData,2))</f>
        <v>AGAGEL® 380</v>
      </c>
      <c r="F15" s="339"/>
      <c r="G15" s="339"/>
      <c r="H15" s="339"/>
      <c r="I15" s="389"/>
      <c r="J15" s="389"/>
      <c r="K15" s="98">
        <f>M15/MeatAndWater2</f>
        <v>3.524072261279701E-2</v>
      </c>
      <c r="L15" s="98"/>
      <c r="M15" s="176">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3.96</v>
      </c>
      <c r="N15" s="225" t="str">
        <f>IF(M15&lt;&gt;"","kg","")</f>
        <v>kg</v>
      </c>
      <c r="O15" s="193">
        <f t="shared" ref="O15:O21" si="1">IF(ISNA(VLOOKUP(B15,AllData,2,0)),"",VLOOKUP(B15,AllData,4,0))</f>
        <v>9.4499999999999993</v>
      </c>
      <c r="P15" s="9" t="str">
        <f t="shared" ref="P15:P21" si="2">IF(O15&lt;&gt;"","EUR","")</f>
        <v>EUR</v>
      </c>
      <c r="Q15" s="10">
        <f t="shared" ref="Q15:Q16" si="3">IF(O15&lt;&gt;"",ROUND(O15*M15,2),"")</f>
        <v>37.42</v>
      </c>
      <c r="R15" s="11" t="str">
        <f t="shared" ref="R15:R16" si="4">IF(Q15&lt;&gt;"","EUR","")</f>
        <v>EUR</v>
      </c>
      <c r="T15" s="204">
        <f>M15*VLOOKUP(B15,AllData,3)</f>
        <v>0.99594000000000005</v>
      </c>
      <c r="U15" s="82" t="s">
        <v>0</v>
      </c>
    </row>
    <row r="16" spans="2:23" ht="21" customHeight="1" x14ac:dyDescent="0.25">
      <c r="B16" s="396">
        <v>11049</v>
      </c>
      <c r="C16" s="396"/>
      <c r="D16" s="97" t="str">
        <f t="shared" ref="D16" si="5">IF(ISNA(VLOOKUP(B16,AllData,2,0)),"",HYPERLINK(VLOOKUP(B16,AllData,7,0),"📌"))</f>
        <v>📌</v>
      </c>
      <c r="E16" s="339" t="str">
        <f t="shared" si="0"/>
        <v>Curing Salt [Nitrite pickling salt]</v>
      </c>
      <c r="F16" s="339"/>
      <c r="G16" s="339"/>
      <c r="H16" s="339"/>
      <c r="I16" s="389"/>
      <c r="J16" s="389"/>
      <c r="K16" s="98">
        <f>M16/MeatAndWater2</f>
        <v>1.2369849603986828E-2</v>
      </c>
      <c r="L16" s="98"/>
      <c r="M16" s="176">
        <f>ROUND(SUM(Meat2,Meat2*YieldIncrease)*SaltContent-SaltSum,2)</f>
        <v>1.39</v>
      </c>
      <c r="N16" s="225" t="str">
        <f>IF(M16&lt;&gt;"","kg","")</f>
        <v>kg</v>
      </c>
      <c r="O16" s="193">
        <f t="shared" si="1"/>
        <v>0.7</v>
      </c>
      <c r="P16" s="9" t="str">
        <f t="shared" si="2"/>
        <v>EUR</v>
      </c>
      <c r="Q16" s="10">
        <f t="shared" si="3"/>
        <v>0.97</v>
      </c>
      <c r="R16" s="11" t="str">
        <f t="shared" si="4"/>
        <v>EUR</v>
      </c>
      <c r="T16" s="204"/>
    </row>
    <row r="17" spans="2:21" ht="21" customHeight="1" x14ac:dyDescent="0.25">
      <c r="B17" s="396">
        <v>10066</v>
      </c>
      <c r="C17" s="396"/>
      <c r="D17" s="97" t="str">
        <f>IF(ISNA(VLOOKUP(B17,AllData,2,0)),"",HYPERLINK(VLOOKUP(B17,AllData,7,0),"📌"))</f>
        <v>📌</v>
      </c>
      <c r="E17" s="339" t="str">
        <f t="shared" si="0"/>
        <v>Dextrose Monohydrate</v>
      </c>
      <c r="F17" s="339"/>
      <c r="G17" s="339"/>
      <c r="H17" s="339"/>
      <c r="I17" s="389"/>
      <c r="J17" s="389"/>
      <c r="K17" s="98">
        <v>1.6E-2</v>
      </c>
      <c r="L17" s="98"/>
      <c r="M17" s="176">
        <f>IF(K17&lt;&gt;"",ROUND((Meat2+Meat2*YieldIncrease)*K17,2),"")</f>
        <v>1.92</v>
      </c>
      <c r="N17" s="225" t="str">
        <f>IF(M17&lt;&gt;"","kg","")</f>
        <v>kg</v>
      </c>
      <c r="O17" s="193">
        <f t="shared" si="1"/>
        <v>1.9</v>
      </c>
      <c r="P17" s="9" t="str">
        <f t="shared" ref="P17:P18" si="6">IF(O17&lt;&gt;"","EUR","")</f>
        <v>EUR</v>
      </c>
      <c r="Q17" s="10">
        <f t="shared" ref="Q17:Q18" si="7">IF(O17&lt;&gt;"",ROUND(O17*M17,2),"")</f>
        <v>3.65</v>
      </c>
      <c r="R17" s="11" t="str">
        <f t="shared" ref="R17:R18" si="8">IF(Q17&lt;&gt;"","EUR","")</f>
        <v>EUR</v>
      </c>
      <c r="T17" s="204">
        <f>M17*VLOOKUP(B17,AllData,3)</f>
        <v>0</v>
      </c>
      <c r="U17" s="82" t="s">
        <v>0</v>
      </c>
    </row>
    <row r="18" spans="2:21" ht="21" customHeight="1" x14ac:dyDescent="0.25">
      <c r="B18" s="396">
        <v>50003</v>
      </c>
      <c r="C18" s="396"/>
      <c r="D18" s="97" t="str">
        <f>IF(ISNA(VLOOKUP(B18,AllData,2,0)),"",HYPERLINK(VLOOKUP(B18,AllData,7,0),"📌"))</f>
        <v>📌</v>
      </c>
      <c r="E18" s="339" t="str">
        <f t="shared" si="0"/>
        <v>Meister Fixrot</v>
      </c>
      <c r="F18" s="339"/>
      <c r="G18" s="339"/>
      <c r="H18" s="339"/>
      <c r="I18" s="389"/>
      <c r="J18" s="389"/>
      <c r="K18" s="98">
        <v>3.0000000000000001E-3</v>
      </c>
      <c r="L18" s="98"/>
      <c r="M18" s="176">
        <f>IF(K18&lt;&gt;"",ROUND((Meat2+Meat2*YieldIncrease)*K18,2),"")</f>
        <v>0.36</v>
      </c>
      <c r="N18" s="225" t="str">
        <f>IF(M18&lt;&gt;"","kg","")</f>
        <v>kg</v>
      </c>
      <c r="O18" s="193">
        <f t="shared" si="1"/>
        <v>8.9</v>
      </c>
      <c r="P18" s="9" t="str">
        <f t="shared" si="6"/>
        <v>EUR</v>
      </c>
      <c r="Q18" s="10">
        <f t="shared" si="7"/>
        <v>3.2</v>
      </c>
      <c r="R18" s="11" t="str">
        <f t="shared" si="8"/>
        <v>EUR</v>
      </c>
      <c r="T18" s="204">
        <f>M18*VLOOKUP(B18,AllData,3)</f>
        <v>1.0619999999999999E-2</v>
      </c>
      <c r="U18" s="82" t="s">
        <v>0</v>
      </c>
    </row>
    <row r="19" spans="2:21" ht="21" x14ac:dyDescent="0.25">
      <c r="B19" s="397">
        <v>51024</v>
      </c>
      <c r="C19" s="397"/>
      <c r="D19" s="234" t="str">
        <f t="shared" ref="D19" si="9">IF(ISNA(VLOOKUP(B19,AllData,2,0)),"",HYPERLINK(VLOOKUP(B19,AllData,7,0),"📌"))</f>
        <v>📌</v>
      </c>
      <c r="E19" s="399" t="str">
        <f t="shared" si="0"/>
        <v>FlavoMaxx Condiment</v>
      </c>
      <c r="F19" s="399"/>
      <c r="G19" s="399"/>
      <c r="H19" s="399"/>
      <c r="I19" s="252" t="s">
        <v>3169</v>
      </c>
      <c r="J19" s="254" t="s">
        <v>1495</v>
      </c>
      <c r="K19" s="250" t="s">
        <v>3137</v>
      </c>
      <c r="L19" s="257" t="s">
        <v>1498</v>
      </c>
      <c r="M19" s="235">
        <f>IF(G5="Injected &amp; Tumbled",(Meat2*YieldIncrease*(IF(K19="mild",2%,IF(K19="normal",3.5%,IF(K19="strong",5%,0))))),IF(G5="Tumbled",((Meat2+Meat2*YieldIncrease)*IF(K19="mild",0.5%,IF(K19="normal",0.75%,IF(K19="strong",1%,0))))))</f>
        <v>0</v>
      </c>
      <c r="N19" s="236" t="str">
        <f t="shared" ref="N19:N21" si="10">IF(M19&lt;&gt;"","kg","")</f>
        <v>kg</v>
      </c>
      <c r="O19" s="237">
        <f t="shared" si="1"/>
        <v>6.4</v>
      </c>
      <c r="P19" s="238" t="str">
        <f t="shared" si="2"/>
        <v>EUR</v>
      </c>
      <c r="Q19" s="239">
        <f t="shared" ref="Q19:Q20" si="11">IF(O19&lt;&gt;"",ROUND(O19*M19,2),"")</f>
        <v>0</v>
      </c>
      <c r="R19" s="240" t="str">
        <f t="shared" ref="R19:R20" si="12">IF(Q19&lt;&gt;"","EUR","")</f>
        <v>EUR</v>
      </c>
      <c r="T19" s="204">
        <f>M19*VLOOKUP(B19,AllData,3)</f>
        <v>0</v>
      </c>
      <c r="U19" s="82" t="s">
        <v>0</v>
      </c>
    </row>
    <row r="20" spans="2:21" ht="21" x14ac:dyDescent="0.25">
      <c r="B20" s="396">
        <f>IF(G5="Tumbled",11055,IF(G5="Injected &amp; Tumbled",11069,""))</f>
        <v>11055</v>
      </c>
      <c r="C20" s="396"/>
      <c r="D20" s="97" t="str">
        <f t="shared" ref="D20" si="13">IF(ISNA(VLOOKUP(B20,AllData,2,0)),"",HYPERLINK(VLOOKUP(B20,AllData,7,0),"📌"))</f>
        <v>📌</v>
      </c>
      <c r="E20" s="339" t="str">
        <f t="shared" si="0"/>
        <v>FibreMaxx WF 200</v>
      </c>
      <c r="F20" s="339"/>
      <c r="G20" s="339"/>
      <c r="H20" s="339"/>
      <c r="I20" s="253" t="s">
        <v>3165</v>
      </c>
      <c r="J20" s="255" t="s">
        <v>1495</v>
      </c>
      <c r="K20" s="241" t="s">
        <v>3137</v>
      </c>
      <c r="L20" s="258" t="s">
        <v>1498</v>
      </c>
      <c r="M20" s="176">
        <f>IF($G$5="Injected &amp; Tumbled",(Meat2*YieldIncrease*(IF(K20="low",0.5%,IF(K20="medium",0.75%,IF(K20="high",1%))))),IF(G5="Tumbled",((Meat2+Meat2*YieldIncrease)*IF(K20="low",0.5%,IF(K20="medium",1%,IF(K20="high",1.5%,0))))))</f>
        <v>0</v>
      </c>
      <c r="N20" s="225" t="str">
        <f>IF(M20&lt;&gt;"","kg","")</f>
        <v>kg</v>
      </c>
      <c r="O20" s="193">
        <f t="shared" si="1"/>
        <v>2.8</v>
      </c>
      <c r="P20" s="9" t="str">
        <f t="shared" si="2"/>
        <v>EUR</v>
      </c>
      <c r="Q20" s="10">
        <f t="shared" si="11"/>
        <v>0</v>
      </c>
      <c r="R20" s="11" t="str">
        <f t="shared" si="12"/>
        <v>EUR</v>
      </c>
      <c r="T20" s="204">
        <f>M20*VLOOKUP(B20,AllData,3)</f>
        <v>0</v>
      </c>
      <c r="U20" s="82" t="s">
        <v>0</v>
      </c>
    </row>
    <row r="21" spans="2:21" ht="21" x14ac:dyDescent="0.25">
      <c r="B21" s="392">
        <v>11146</v>
      </c>
      <c r="C21" s="392"/>
      <c r="D21" s="242" t="str">
        <f t="shared" ref="D21" si="14">IF(ISNA(VLOOKUP(B21,AllData,2,0)),"",HYPERLINK(VLOOKUP(B21,AllData,7,0),"📌"))</f>
        <v>📌</v>
      </c>
      <c r="E21" s="398" t="str">
        <f t="shared" ref="E21" si="15">IF(ISNA(VLOOKUP(B21,AllData,2)),"",VLOOKUP(B21,AllData,2))</f>
        <v>RoMaxx MB liquid</v>
      </c>
      <c r="F21" s="398"/>
      <c r="G21" s="398"/>
      <c r="H21" s="398"/>
      <c r="I21" s="251" t="s">
        <v>3166</v>
      </c>
      <c r="J21" s="256" t="s">
        <v>1495</v>
      </c>
      <c r="K21" s="243" t="s">
        <v>3135</v>
      </c>
      <c r="L21" s="259" t="s">
        <v>1498</v>
      </c>
      <c r="M21" s="244">
        <f>IF(K21="use",ROUND(0.4%*(Meat2+Meat2*YieldIncrease),2),0)</f>
        <v>0</v>
      </c>
      <c r="N21" s="245" t="str">
        <f t="shared" si="10"/>
        <v>kg</v>
      </c>
      <c r="O21" s="246">
        <f t="shared" si="1"/>
        <v>9.9</v>
      </c>
      <c r="P21" s="247" t="str">
        <f t="shared" si="2"/>
        <v>EUR</v>
      </c>
      <c r="Q21" s="248">
        <f t="shared" ref="Q21" si="16">IF(O21&lt;&gt;"",ROUND(O21*M21,2),"")</f>
        <v>0</v>
      </c>
      <c r="R21" s="249" t="str">
        <f t="shared" ref="R21" si="17">IF(Q21&lt;&gt;"","EUR","")</f>
        <v>EUR</v>
      </c>
      <c r="T21" s="204">
        <f>M21*VLOOKUP(B21,AllData,3)</f>
        <v>0</v>
      </c>
      <c r="U21" s="82" t="s">
        <v>0</v>
      </c>
    </row>
    <row r="22" spans="2:21" ht="22" thickBot="1" x14ac:dyDescent="0.3">
      <c r="B22" s="393" t="s">
        <v>35</v>
      </c>
      <c r="C22" s="393"/>
      <c r="D22" s="393"/>
      <c r="E22" s="393"/>
      <c r="F22" s="393"/>
      <c r="G22" s="393"/>
      <c r="H22" s="393"/>
      <c r="I22" s="393"/>
      <c r="J22" s="393"/>
      <c r="K22" s="99">
        <f>M22/MeatAndWater2</f>
        <v>6.7900685236273017E-2</v>
      </c>
      <c r="L22" s="99"/>
      <c r="M22" s="100">
        <f>SUM(M15:M21)</f>
        <v>7.63</v>
      </c>
      <c r="N22" s="101" t="s">
        <v>0</v>
      </c>
      <c r="O22" s="209" t="str">
        <f>"ø "&amp;ROUND(Q22/M22,2)</f>
        <v>ø 5,93</v>
      </c>
      <c r="P22" s="102" t="str">
        <f>P15</f>
        <v>EUR</v>
      </c>
      <c r="Q22" s="103">
        <f>SUM(Q15:Q21)</f>
        <v>45.24</v>
      </c>
      <c r="R22" s="104" t="str">
        <f>R15</f>
        <v>EUR</v>
      </c>
      <c r="S22" s="204" t="s">
        <v>3132</v>
      </c>
      <c r="T22" s="204">
        <f>SUM(T15:T21)</f>
        <v>1.0065600000000001</v>
      </c>
      <c r="U22" s="82" t="s">
        <v>0</v>
      </c>
    </row>
    <row r="23" spans="2:21" ht="35" customHeight="1" thickBot="1" x14ac:dyDescent="0.25">
      <c r="B23" s="394" t="s">
        <v>3046</v>
      </c>
      <c r="C23" s="394"/>
      <c r="D23" s="394"/>
      <c r="E23" s="394"/>
      <c r="F23" s="394"/>
      <c r="G23" s="394"/>
      <c r="H23" s="394"/>
      <c r="I23" s="394"/>
      <c r="J23" s="394"/>
      <c r="K23" s="395">
        <f>ROUND(MeatAndWater2+M22,2)</f>
        <v>120</v>
      </c>
      <c r="L23" s="395"/>
      <c r="M23" s="395"/>
      <c r="N23" s="105" t="s">
        <v>0</v>
      </c>
      <c r="O23" s="192">
        <f>Q23/K23</f>
        <v>4.5446666666666671</v>
      </c>
      <c r="P23" s="181" t="str">
        <f>"€ / kg"</f>
        <v>€ / kg</v>
      </c>
      <c r="Q23" s="182">
        <f>SUM(Q13,Q22)</f>
        <v>545.36</v>
      </c>
      <c r="R23" s="183" t="str">
        <f>R15</f>
        <v>EUR</v>
      </c>
      <c r="U23" s="203"/>
    </row>
    <row r="24" spans="2:21" ht="11" customHeight="1" x14ac:dyDescent="0.2">
      <c r="B24" s="106"/>
      <c r="C24" s="106"/>
      <c r="D24" s="106"/>
      <c r="E24" s="106"/>
      <c r="F24" s="106"/>
      <c r="G24" s="106"/>
      <c r="H24" s="106"/>
      <c r="I24" s="106"/>
      <c r="J24" s="106"/>
      <c r="K24" s="106"/>
      <c r="L24" s="106"/>
      <c r="M24" s="106"/>
      <c r="N24" s="106"/>
      <c r="O24" s="184"/>
      <c r="P24" s="185"/>
      <c r="Q24" s="186"/>
      <c r="R24" s="185"/>
    </row>
    <row r="25" spans="2:21" s="13" customFormat="1" ht="26" customHeight="1" x14ac:dyDescent="0.25">
      <c r="B25" s="402" t="s">
        <v>34</v>
      </c>
      <c r="C25" s="402"/>
      <c r="D25" s="110" t="s">
        <v>44</v>
      </c>
      <c r="E25" s="400" t="s">
        <v>3130</v>
      </c>
      <c r="F25" s="400"/>
      <c r="G25" s="401"/>
      <c r="H25" s="401"/>
      <c r="I25" s="401"/>
      <c r="J25" s="401"/>
      <c r="K25" s="111"/>
      <c r="L25" s="111"/>
      <c r="M25" s="112"/>
      <c r="N25" s="112"/>
      <c r="O25" s="387" t="s">
        <v>3145</v>
      </c>
      <c r="P25" s="387"/>
      <c r="Q25" s="387"/>
      <c r="R25" s="387"/>
      <c r="S25" s="166"/>
      <c r="T25" s="221"/>
      <c r="U25" s="221"/>
    </row>
    <row r="26" spans="2:21" ht="21" customHeight="1" x14ac:dyDescent="0.2">
      <c r="B26" s="344">
        <v>80014</v>
      </c>
      <c r="C26" s="344"/>
      <c r="D26" s="107" t="str">
        <f>IF(ISNA(VLOOKUP(B26,AllData,2,0)),"",HYPERLINK(VLOOKUP(B26,AllData,7,0),"📌"))</f>
        <v>📌</v>
      </c>
      <c r="E26" s="339" t="str">
        <f>IF(ISNA(VLOOKUP(B26,AllData,2,0)),"",VLOOKUP(B26,AllData,2,0))</f>
        <v>Boning Knife blue, 15 cm semi-flex, curved</v>
      </c>
      <c r="F26" s="339"/>
      <c r="G26" s="339"/>
      <c r="H26" s="339"/>
      <c r="I26" s="327" t="s">
        <v>3170</v>
      </c>
      <c r="J26" s="327"/>
      <c r="K26" s="327"/>
      <c r="L26" s="327"/>
      <c r="M26" s="327"/>
      <c r="N26" s="327"/>
      <c r="O26" s="391" t="s">
        <v>3129</v>
      </c>
      <c r="P26" s="391"/>
      <c r="Q26" s="391"/>
      <c r="R26" s="391"/>
    </row>
    <row r="27" spans="2:21" ht="21" x14ac:dyDescent="0.2">
      <c r="B27" s="344">
        <v>88071</v>
      </c>
      <c r="C27" s="344"/>
      <c r="D27" s="107" t="str">
        <f>IF(ISNA(VLOOKUP(B27,AllData,2,0)),"",HYPERLINK(VLOOKUP(B27,AllData,7,0),"📌"))</f>
        <v>📌</v>
      </c>
      <c r="E27" s="339" t="str">
        <f>IF(ISNA(VLOOKUP(B27,AllData,2,0)),"",VLOOKUP(B27,AllData,2,0))</f>
        <v>Tumbler-Marinator by GLASS - 50 l</v>
      </c>
      <c r="F27" s="339"/>
      <c r="G27" s="339"/>
      <c r="H27" s="339"/>
      <c r="I27" s="327" t="s">
        <v>3160</v>
      </c>
      <c r="J27" s="327"/>
      <c r="K27" s="327"/>
      <c r="L27" s="327"/>
      <c r="M27" s="327"/>
      <c r="N27" s="327"/>
      <c r="O27" s="391"/>
      <c r="P27" s="391"/>
      <c r="Q27" s="391"/>
      <c r="R27" s="391"/>
    </row>
    <row r="28" spans="2:21" ht="21" x14ac:dyDescent="0.2">
      <c r="B28" s="344">
        <v>89022</v>
      </c>
      <c r="C28" s="344"/>
      <c r="D28" s="107" t="str">
        <f>IF(ISNA(VLOOKUP(B28,AllData,2,0)),"",HYPERLINK(VLOOKUP(B28,AllData,7,0),"📌"))</f>
        <v>📌</v>
      </c>
      <c r="E28" s="339" t="str">
        <f>IF(ISNA(VLOOKUP(B28,AllData,2,0)),"",VLOOKUP(B28,AllData,2,0))</f>
        <v>Charging Trolley 300 litres</v>
      </c>
      <c r="F28" s="339"/>
      <c r="G28" s="339"/>
      <c r="H28" s="339"/>
      <c r="I28" s="327" t="s">
        <v>3144</v>
      </c>
      <c r="J28" s="327"/>
      <c r="K28" s="327"/>
      <c r="L28" s="327"/>
      <c r="M28" s="327"/>
      <c r="N28" s="327"/>
      <c r="O28" s="391"/>
      <c r="P28" s="391"/>
      <c r="Q28" s="391"/>
      <c r="R28" s="391"/>
    </row>
    <row r="29" spans="2:21" ht="21" x14ac:dyDescent="0.2">
      <c r="B29" s="344">
        <v>87003</v>
      </c>
      <c r="C29" s="344"/>
      <c r="D29" s="107" t="str">
        <f>IF(ISNA(VLOOKUP(B29,AllData,2,0)),"",HYPERLINK(VLOOKUP(B29,AllData,7,0),"📌"))</f>
        <v>📌</v>
      </c>
      <c r="E29" s="339" t="str">
        <f>IF(ISNA(VLOOKUP(B29,AllData,2,0)),"",VLOOKUP(B29,AllData,2,0))</f>
        <v>Cellophane Film</v>
      </c>
      <c r="F29" s="339"/>
      <c r="G29" s="339"/>
      <c r="H29" s="339"/>
      <c r="I29" s="327" t="s">
        <v>3171</v>
      </c>
      <c r="J29" s="327"/>
      <c r="K29" s="327"/>
      <c r="L29" s="327"/>
      <c r="M29" s="327"/>
      <c r="N29" s="327"/>
      <c r="O29" s="391"/>
      <c r="P29" s="391"/>
      <c r="Q29" s="391"/>
      <c r="R29" s="391"/>
    </row>
    <row r="30" spans="2:21" ht="21" x14ac:dyDescent="0.2">
      <c r="B30" s="344">
        <v>81021</v>
      </c>
      <c r="C30" s="344"/>
      <c r="D30" s="107" t="str">
        <f>IF(ISNA(VLOOKUP(B30,AllData,2,0)),"",HYPERLINK(VLOOKUP(B30,AllData,7,0),"📌"))</f>
        <v>📌</v>
      </c>
      <c r="E30" s="339" t="str">
        <f>IF(ISNA(VLOOKUP(B30,AllData,2,0)),"",VLOOKUP(B30,AllData,2,0))</f>
        <v>Meatbox E2 [blue]</v>
      </c>
      <c r="F30" s="339"/>
      <c r="G30" s="339"/>
      <c r="H30" s="339"/>
      <c r="I30" s="327" t="s">
        <v>3161</v>
      </c>
      <c r="J30" s="327"/>
      <c r="K30" s="327"/>
      <c r="L30" s="327"/>
      <c r="M30" s="327"/>
      <c r="N30" s="327"/>
      <c r="O30" s="391"/>
      <c r="P30" s="391"/>
      <c r="Q30" s="391"/>
      <c r="R30" s="391"/>
    </row>
    <row r="31" spans="2:21" ht="21" x14ac:dyDescent="0.2">
      <c r="B31" s="113"/>
      <c r="C31" s="113"/>
      <c r="D31" s="114" t="s">
        <v>61</v>
      </c>
      <c r="E31" s="350" t="s">
        <v>3044</v>
      </c>
      <c r="F31" s="350"/>
      <c r="G31" s="350"/>
      <c r="H31" s="350"/>
      <c r="I31" s="350"/>
      <c r="J31" s="350"/>
      <c r="K31" s="350"/>
      <c r="L31" s="350"/>
      <c r="M31" s="350"/>
      <c r="N31" s="350"/>
      <c r="O31" s="391"/>
      <c r="P31" s="391"/>
      <c r="Q31" s="391"/>
      <c r="R31" s="391"/>
    </row>
    <row r="32" spans="2:21" ht="10" customHeight="1" thickBot="1" x14ac:dyDescent="0.25">
      <c r="B32" s="108"/>
      <c r="C32" s="108"/>
      <c r="D32" s="108"/>
      <c r="E32" s="108"/>
      <c r="F32" s="108"/>
      <c r="G32" s="108"/>
      <c r="H32" s="108"/>
      <c r="I32" s="108"/>
      <c r="J32" s="108"/>
      <c r="K32" s="108"/>
      <c r="L32" s="108"/>
      <c r="M32" s="108"/>
      <c r="N32" s="108"/>
      <c r="O32" s="391"/>
      <c r="P32" s="391"/>
      <c r="Q32" s="391"/>
      <c r="R32" s="391"/>
    </row>
    <row r="33" spans="2:24" ht="25" thickTop="1" x14ac:dyDescent="0.25">
      <c r="B33" s="351" t="s">
        <v>3017</v>
      </c>
      <c r="C33" s="352"/>
      <c r="D33" s="352"/>
      <c r="E33" s="352"/>
      <c r="F33" s="352"/>
      <c r="G33" s="352"/>
      <c r="H33" s="352"/>
      <c r="I33" s="352"/>
      <c r="J33" s="352"/>
      <c r="K33" s="352"/>
      <c r="L33" s="352"/>
      <c r="M33" s="352"/>
      <c r="N33" s="353"/>
      <c r="O33" s="391"/>
      <c r="P33" s="391"/>
      <c r="Q33" s="391"/>
      <c r="R33" s="391"/>
      <c r="S33" s="222"/>
      <c r="T33" s="222"/>
      <c r="U33" s="222"/>
    </row>
    <row r="34" spans="2:24" ht="19" customHeight="1" x14ac:dyDescent="0.2">
      <c r="B34" s="179" t="s">
        <v>3015</v>
      </c>
      <c r="C34" s="365" t="s">
        <v>1499</v>
      </c>
      <c r="D34" s="365"/>
      <c r="E34" s="365"/>
      <c r="F34" s="365"/>
      <c r="G34" s="365"/>
      <c r="H34" s="365"/>
      <c r="I34" s="365"/>
      <c r="J34" s="365"/>
      <c r="K34" s="365"/>
      <c r="L34" s="365"/>
      <c r="M34" s="365"/>
      <c r="N34" s="366"/>
      <c r="O34" s="391"/>
      <c r="P34" s="391"/>
      <c r="Q34" s="391"/>
      <c r="R34" s="391"/>
      <c r="S34" s="223"/>
      <c r="T34" s="223"/>
      <c r="U34" s="223"/>
      <c r="V34" s="86"/>
      <c r="W34" s="86"/>
      <c r="X34" s="86"/>
    </row>
    <row r="35" spans="2:24" ht="20" customHeight="1" thickBot="1" x14ac:dyDescent="0.25">
      <c r="B35" s="180" t="s">
        <v>3015</v>
      </c>
      <c r="C35" s="345" t="s">
        <v>3041</v>
      </c>
      <c r="D35" s="345"/>
      <c r="E35" s="345"/>
      <c r="F35" s="345"/>
      <c r="G35" s="345"/>
      <c r="H35" s="345"/>
      <c r="I35" s="345"/>
      <c r="J35" s="345"/>
      <c r="K35" s="345"/>
      <c r="L35" s="345"/>
      <c r="M35" s="345"/>
      <c r="N35" s="346"/>
      <c r="O35" s="279"/>
      <c r="P35" s="279"/>
      <c r="Q35" s="279"/>
      <c r="R35" s="279"/>
    </row>
    <row r="36" spans="2:24" ht="10" customHeight="1" thickTop="1" thickBot="1" x14ac:dyDescent="0.25">
      <c r="B36" s="187"/>
      <c r="C36" s="187"/>
      <c r="D36" s="187"/>
      <c r="E36" s="187"/>
      <c r="F36" s="187"/>
      <c r="G36" s="187"/>
      <c r="H36" s="187"/>
      <c r="I36" s="187"/>
      <c r="J36" s="187"/>
      <c r="K36" s="187"/>
      <c r="L36" s="187"/>
      <c r="M36" s="187"/>
      <c r="N36" s="187"/>
      <c r="O36" s="279"/>
      <c r="P36" s="279"/>
      <c r="Q36" s="279"/>
      <c r="R36" s="279"/>
    </row>
    <row r="37" spans="2:24" ht="25" customHeight="1" thickTop="1" x14ac:dyDescent="0.2">
      <c r="B37" s="328" t="s">
        <v>3018</v>
      </c>
      <c r="C37" s="329"/>
      <c r="D37" s="329"/>
      <c r="E37" s="329"/>
      <c r="F37" s="329"/>
      <c r="G37" s="329"/>
      <c r="H37" s="329"/>
      <c r="I37" s="205"/>
      <c r="J37" s="178"/>
      <c r="K37" s="340" t="s">
        <v>3149</v>
      </c>
      <c r="L37" s="340"/>
      <c r="M37" s="340"/>
      <c r="N37" s="341"/>
      <c r="O37" s="279"/>
      <c r="P37" s="279"/>
      <c r="Q37" s="279"/>
      <c r="R37" s="279"/>
    </row>
    <row r="38" spans="2:24" ht="20" customHeight="1" x14ac:dyDescent="0.2">
      <c r="B38" s="177" t="s">
        <v>3015</v>
      </c>
      <c r="C38" s="326" t="s">
        <v>3047</v>
      </c>
      <c r="D38" s="326"/>
      <c r="E38" s="326"/>
      <c r="F38" s="326"/>
      <c r="G38" s="326"/>
      <c r="H38" s="326"/>
      <c r="I38" s="326"/>
      <c r="J38" s="326"/>
      <c r="K38" s="342"/>
      <c r="L38" s="342"/>
      <c r="M38" s="342"/>
      <c r="N38" s="343"/>
      <c r="O38" s="279"/>
      <c r="P38" s="279"/>
      <c r="Q38" s="279"/>
      <c r="R38" s="279"/>
    </row>
    <row r="39" spans="2:24" ht="19" customHeight="1" x14ac:dyDescent="0.2">
      <c r="B39" s="177" t="s">
        <v>3015</v>
      </c>
      <c r="C39" s="326" t="s">
        <v>3014</v>
      </c>
      <c r="D39" s="326"/>
      <c r="E39" s="326"/>
      <c r="F39" s="326"/>
      <c r="G39" s="326"/>
      <c r="H39" s="326"/>
      <c r="I39" s="326"/>
      <c r="J39" s="326"/>
      <c r="K39" s="342"/>
      <c r="L39" s="342"/>
      <c r="M39" s="342"/>
      <c r="N39" s="343"/>
    </row>
    <row r="40" spans="2:24" ht="20" customHeight="1" x14ac:dyDescent="0.2">
      <c r="B40" s="177" t="s">
        <v>3015</v>
      </c>
      <c r="C40" s="338" t="s">
        <v>3164</v>
      </c>
      <c r="D40" s="338"/>
      <c r="E40" s="338"/>
      <c r="F40" s="338"/>
      <c r="G40" s="338"/>
      <c r="H40" s="338"/>
      <c r="I40" s="338"/>
      <c r="J40" s="338"/>
      <c r="K40" s="342"/>
      <c r="L40" s="342"/>
      <c r="M40" s="342"/>
      <c r="N40" s="343"/>
    </row>
    <row r="41" spans="2:24" ht="10" customHeight="1" x14ac:dyDescent="0.2">
      <c r="B41" s="177"/>
      <c r="C41" s="206"/>
      <c r="D41" s="206"/>
      <c r="E41" s="206"/>
      <c r="F41" s="206"/>
      <c r="G41" s="206"/>
      <c r="H41" s="206"/>
      <c r="I41" s="206"/>
      <c r="J41" s="206"/>
      <c r="K41" s="217"/>
      <c r="L41" s="217"/>
      <c r="M41" s="217"/>
      <c r="N41" s="218"/>
    </row>
    <row r="42" spans="2:24" ht="20" customHeight="1" thickBot="1" x14ac:dyDescent="0.25">
      <c r="B42" s="323" t="s">
        <v>3159</v>
      </c>
      <c r="C42" s="324"/>
      <c r="D42" s="324"/>
      <c r="E42" s="324"/>
      <c r="F42" s="324"/>
      <c r="G42" s="324"/>
      <c r="H42" s="324"/>
      <c r="I42" s="324"/>
      <c r="J42" s="324"/>
      <c r="K42" s="324"/>
      <c r="L42" s="324"/>
      <c r="M42" s="324"/>
      <c r="N42" s="325"/>
    </row>
    <row r="43" spans="2:24" ht="10" customHeight="1" thickTop="1" thickBot="1" x14ac:dyDescent="0.25">
      <c r="B43" s="187"/>
      <c r="C43" s="187"/>
      <c r="D43" s="187"/>
      <c r="E43" s="187"/>
      <c r="F43" s="187"/>
      <c r="G43" s="187"/>
      <c r="H43" s="187"/>
      <c r="I43" s="187"/>
      <c r="J43" s="187"/>
      <c r="K43" s="187"/>
      <c r="L43" s="187"/>
      <c r="M43" s="187"/>
      <c r="N43" s="187"/>
    </row>
    <row r="44" spans="2:24" ht="25" thickTop="1" x14ac:dyDescent="0.2">
      <c r="B44" s="351" t="s">
        <v>3200</v>
      </c>
      <c r="C44" s="352"/>
      <c r="D44" s="352"/>
      <c r="E44" s="352"/>
      <c r="F44" s="352"/>
      <c r="G44" s="352"/>
      <c r="H44" s="352"/>
      <c r="I44" s="352"/>
      <c r="J44" s="352"/>
      <c r="K44" s="352"/>
      <c r="L44" s="352"/>
      <c r="M44" s="352"/>
      <c r="N44" s="353"/>
    </row>
    <row r="45" spans="2:24" ht="20" customHeight="1" x14ac:dyDescent="0.2">
      <c r="B45" s="270" t="s">
        <v>3015</v>
      </c>
      <c r="C45" s="331" t="s">
        <v>3201</v>
      </c>
      <c r="D45" s="331"/>
      <c r="E45" s="331"/>
      <c r="F45" s="331"/>
      <c r="G45" s="331"/>
      <c r="H45" s="331"/>
      <c r="I45" s="331"/>
      <c r="J45" s="331"/>
      <c r="K45" s="331"/>
      <c r="L45" s="331"/>
      <c r="M45" s="331"/>
      <c r="N45" s="332"/>
    </row>
    <row r="46" spans="2:24" ht="8" customHeight="1" x14ac:dyDescent="0.2">
      <c r="B46" s="179"/>
      <c r="C46" s="365"/>
      <c r="D46" s="365"/>
      <c r="E46" s="365"/>
      <c r="F46" s="365"/>
      <c r="G46" s="365"/>
      <c r="H46" s="365"/>
      <c r="I46" s="365"/>
      <c r="J46" s="365"/>
      <c r="K46" s="365"/>
      <c r="L46" s="365"/>
      <c r="M46" s="365"/>
      <c r="N46" s="366"/>
    </row>
    <row r="47" spans="2:24" ht="22" x14ac:dyDescent="0.2">
      <c r="B47" s="179"/>
      <c r="C47" s="277"/>
      <c r="D47" s="277"/>
      <c r="E47" s="277"/>
      <c r="F47" s="277"/>
      <c r="G47" s="277"/>
      <c r="H47" s="300" t="s">
        <v>3035</v>
      </c>
      <c r="I47" s="290" t="s">
        <v>3034</v>
      </c>
      <c r="J47" s="367" t="s">
        <v>3033</v>
      </c>
      <c r="K47" s="367"/>
      <c r="L47" s="367"/>
      <c r="M47" s="290"/>
      <c r="N47" s="276"/>
    </row>
    <row r="48" spans="2:24" ht="22" customHeight="1" x14ac:dyDescent="0.2">
      <c r="B48" s="179"/>
      <c r="C48" s="368" t="s">
        <v>3038</v>
      </c>
      <c r="D48" s="368"/>
      <c r="E48" s="368"/>
      <c r="F48" s="304"/>
      <c r="G48" s="304"/>
      <c r="H48" s="305" t="s">
        <v>3172</v>
      </c>
      <c r="I48" s="305" t="s">
        <v>3151</v>
      </c>
      <c r="J48" s="330" t="s">
        <v>3016</v>
      </c>
      <c r="K48" s="330"/>
      <c r="L48" s="330"/>
      <c r="M48" s="301"/>
      <c r="N48" s="276"/>
    </row>
    <row r="49" spans="2:21" ht="21" customHeight="1" x14ac:dyDescent="0.2">
      <c r="B49" s="188"/>
      <c r="C49" s="361" t="s">
        <v>3037</v>
      </c>
      <c r="D49" s="361"/>
      <c r="E49" s="361"/>
      <c r="F49" s="361"/>
      <c r="G49" s="306" t="s">
        <v>3039</v>
      </c>
      <c r="H49" s="307" t="s">
        <v>3172</v>
      </c>
      <c r="I49" s="307" t="s">
        <v>3167</v>
      </c>
      <c r="J49" s="362" t="s">
        <v>3036</v>
      </c>
      <c r="K49" s="362"/>
      <c r="L49" s="362"/>
      <c r="M49" s="301"/>
      <c r="N49" s="302"/>
    </row>
    <row r="50" spans="2:21" ht="8" customHeight="1" x14ac:dyDescent="0.2">
      <c r="B50" s="303"/>
      <c r="C50" s="363"/>
      <c r="D50" s="363"/>
      <c r="E50" s="363"/>
      <c r="F50" s="363"/>
      <c r="G50" s="363"/>
      <c r="H50" s="363"/>
      <c r="I50" s="363"/>
      <c r="J50" s="363"/>
      <c r="K50" s="363"/>
      <c r="L50" s="363"/>
      <c r="M50" s="363"/>
      <c r="N50" s="364"/>
    </row>
    <row r="51" spans="2:21" ht="20" thickBot="1" x14ac:dyDescent="0.25">
      <c r="B51" s="357" t="s">
        <v>3048</v>
      </c>
      <c r="C51" s="358"/>
      <c r="D51" s="358"/>
      <c r="E51" s="358"/>
      <c r="F51" s="358"/>
      <c r="G51" s="358"/>
      <c r="H51" s="358"/>
      <c r="I51" s="358"/>
      <c r="J51" s="358"/>
      <c r="K51" s="358"/>
      <c r="L51" s="358"/>
      <c r="M51" s="358"/>
      <c r="N51" s="359"/>
    </row>
    <row r="52" spans="2:21" ht="10" customHeight="1" thickTop="1" thickBot="1" x14ac:dyDescent="0.25">
      <c r="B52" s="187"/>
      <c r="C52" s="187"/>
      <c r="D52" s="187"/>
      <c r="E52" s="187"/>
      <c r="F52" s="187"/>
      <c r="G52" s="187"/>
      <c r="H52" s="187"/>
      <c r="I52" s="187"/>
      <c r="J52" s="187"/>
      <c r="K52" s="187"/>
      <c r="L52" s="187"/>
      <c r="M52" s="187"/>
      <c r="N52" s="187"/>
    </row>
    <row r="53" spans="2:21" ht="25" customHeight="1" thickTop="1" x14ac:dyDescent="0.2">
      <c r="B53" s="328" t="s">
        <v>3203</v>
      </c>
      <c r="C53" s="329"/>
      <c r="D53" s="329"/>
      <c r="E53" s="329"/>
      <c r="F53" s="329"/>
      <c r="G53" s="329"/>
      <c r="H53" s="329"/>
      <c r="I53" s="329"/>
      <c r="J53" s="329"/>
      <c r="K53" s="329"/>
      <c r="L53" s="329"/>
      <c r="M53" s="329"/>
      <c r="N53" s="360"/>
    </row>
    <row r="54" spans="2:21" x14ac:dyDescent="0.2">
      <c r="B54" s="177" t="s">
        <v>3015</v>
      </c>
      <c r="C54" s="326" t="s">
        <v>3173</v>
      </c>
      <c r="D54" s="326"/>
      <c r="E54" s="326"/>
      <c r="F54" s="326"/>
      <c r="G54" s="326"/>
      <c r="H54" s="326"/>
      <c r="I54" s="326"/>
      <c r="J54" s="326"/>
      <c r="K54" s="326"/>
      <c r="L54" s="326"/>
      <c r="M54" s="326"/>
      <c r="N54" s="354"/>
    </row>
    <row r="55" spans="2:21" ht="20" thickBot="1" x14ac:dyDescent="0.25">
      <c r="B55" s="291" t="s">
        <v>3015</v>
      </c>
      <c r="C55" s="355" t="s">
        <v>3168</v>
      </c>
      <c r="D55" s="355"/>
      <c r="E55" s="355"/>
      <c r="F55" s="355"/>
      <c r="G55" s="355"/>
      <c r="H55" s="355"/>
      <c r="I55" s="355"/>
      <c r="J55" s="355"/>
      <c r="K55" s="355"/>
      <c r="L55" s="355"/>
      <c r="M55" s="355"/>
      <c r="N55" s="356"/>
    </row>
    <row r="56" spans="2:21" ht="10.5" customHeight="1" thickTop="1" thickBot="1" x14ac:dyDescent="0.25">
      <c r="B56" s="280"/>
      <c r="C56" s="275"/>
      <c r="D56" s="275"/>
      <c r="E56" s="275"/>
      <c r="F56" s="275"/>
      <c r="G56" s="275"/>
      <c r="H56" s="275"/>
      <c r="I56" s="275"/>
      <c r="J56" s="275"/>
      <c r="K56" s="275"/>
      <c r="L56" s="275"/>
      <c r="M56" s="275"/>
      <c r="N56" s="275"/>
      <c r="S56"/>
      <c r="T56"/>
      <c r="U56"/>
    </row>
    <row r="57" spans="2:21" ht="25" thickTop="1" x14ac:dyDescent="0.2">
      <c r="B57" s="351" t="s">
        <v>3204</v>
      </c>
      <c r="C57" s="352"/>
      <c r="D57" s="352"/>
      <c r="E57" s="352"/>
      <c r="F57" s="352"/>
      <c r="G57" s="352"/>
      <c r="H57" s="352"/>
      <c r="I57" s="352"/>
      <c r="J57" s="352"/>
      <c r="K57" s="352"/>
      <c r="L57" s="352"/>
      <c r="M57" s="352"/>
      <c r="N57" s="353"/>
      <c r="S57"/>
      <c r="T57"/>
      <c r="U57"/>
    </row>
    <row r="58" spans="2:21" x14ac:dyDescent="0.2">
      <c r="B58" s="179" t="s">
        <v>3015</v>
      </c>
      <c r="C58" s="365" t="s">
        <v>3174</v>
      </c>
      <c r="D58" s="365"/>
      <c r="E58" s="365"/>
      <c r="F58" s="365"/>
      <c r="G58" s="365"/>
      <c r="H58" s="365"/>
      <c r="I58" s="365"/>
      <c r="J58" s="365"/>
      <c r="K58" s="365"/>
      <c r="L58" s="365"/>
      <c r="M58" s="365"/>
      <c r="N58" s="366"/>
      <c r="S58"/>
      <c r="T58"/>
      <c r="U58"/>
    </row>
    <row r="59" spans="2:21" x14ac:dyDescent="0.2">
      <c r="B59" s="179" t="s">
        <v>3015</v>
      </c>
      <c r="C59" s="365" t="s">
        <v>3175</v>
      </c>
      <c r="D59" s="365"/>
      <c r="E59" s="365"/>
      <c r="F59" s="365"/>
      <c r="G59" s="365"/>
      <c r="H59" s="365"/>
      <c r="I59" s="365"/>
      <c r="J59" s="365"/>
      <c r="K59" s="365"/>
      <c r="L59" s="365"/>
      <c r="M59" s="365"/>
      <c r="N59" s="366"/>
      <c r="S59"/>
      <c r="T59"/>
      <c r="U59"/>
    </row>
    <row r="60" spans="2:21" x14ac:dyDescent="0.2">
      <c r="B60" s="179" t="s">
        <v>3015</v>
      </c>
      <c r="C60" s="365" t="s">
        <v>3176</v>
      </c>
      <c r="D60" s="365"/>
      <c r="E60" s="365"/>
      <c r="F60" s="365"/>
      <c r="G60" s="365"/>
      <c r="H60" s="365"/>
      <c r="I60" s="365"/>
      <c r="J60" s="365"/>
      <c r="K60" s="365"/>
      <c r="L60" s="365"/>
      <c r="M60" s="365"/>
      <c r="N60" s="366"/>
      <c r="S60"/>
      <c r="T60"/>
      <c r="U60"/>
    </row>
    <row r="61" spans="2:21" ht="21" customHeight="1" thickBot="1" x14ac:dyDescent="0.25">
      <c r="B61" s="180" t="s">
        <v>3015</v>
      </c>
      <c r="C61" s="345" t="s">
        <v>3177</v>
      </c>
      <c r="D61" s="345"/>
      <c r="E61" s="345"/>
      <c r="F61" s="345"/>
      <c r="G61" s="345"/>
      <c r="H61" s="345"/>
      <c r="I61" s="345"/>
      <c r="J61" s="345"/>
      <c r="K61" s="345"/>
      <c r="L61" s="345"/>
      <c r="M61" s="345"/>
      <c r="N61" s="346"/>
      <c r="S61"/>
      <c r="T61"/>
      <c r="U61"/>
    </row>
    <row r="62" spans="2:21" ht="10.5" customHeight="1" thickTop="1" thickBot="1" x14ac:dyDescent="0.25">
      <c r="B62" s="106"/>
      <c r="C62" s="106"/>
      <c r="D62" s="106"/>
      <c r="E62" s="106"/>
      <c r="F62" s="106"/>
      <c r="G62" s="106"/>
      <c r="H62" s="106"/>
      <c r="I62" s="106"/>
      <c r="J62" s="106"/>
      <c r="K62" s="106"/>
      <c r="L62" s="106"/>
      <c r="M62" s="106"/>
      <c r="N62" s="106"/>
      <c r="S62"/>
      <c r="T62"/>
      <c r="U62"/>
    </row>
    <row r="63" spans="2:21" ht="25" thickTop="1" x14ac:dyDescent="0.2">
      <c r="B63" s="372" t="s">
        <v>3205</v>
      </c>
      <c r="C63" s="373"/>
      <c r="D63" s="373"/>
      <c r="E63" s="373"/>
      <c r="F63" s="373"/>
      <c r="G63" s="373"/>
      <c r="H63" s="373"/>
      <c r="I63" s="373"/>
      <c r="J63" s="373"/>
      <c r="K63" s="373"/>
      <c r="L63" s="373"/>
      <c r="M63" s="373"/>
      <c r="N63" s="374"/>
      <c r="S63"/>
      <c r="T63"/>
      <c r="U63"/>
    </row>
    <row r="64" spans="2:21" ht="18.75" customHeight="1" x14ac:dyDescent="0.2">
      <c r="B64" s="292" t="s">
        <v>3015</v>
      </c>
      <c r="C64" s="375" t="s">
        <v>3178</v>
      </c>
      <c r="D64" s="375"/>
      <c r="E64" s="375"/>
      <c r="F64" s="375"/>
      <c r="G64" s="375"/>
      <c r="H64" s="375"/>
      <c r="I64" s="375"/>
      <c r="J64" s="375"/>
      <c r="K64" s="375"/>
      <c r="L64" s="375"/>
      <c r="M64" s="375"/>
      <c r="N64" s="376"/>
      <c r="S64"/>
      <c r="T64"/>
      <c r="U64"/>
    </row>
    <row r="65" spans="2:21" ht="10" customHeight="1" x14ac:dyDescent="0.2">
      <c r="B65" s="293"/>
      <c r="C65" s="283"/>
      <c r="D65" s="283"/>
      <c r="E65" s="294"/>
      <c r="F65" s="294"/>
      <c r="G65" s="294"/>
      <c r="H65" s="294"/>
      <c r="I65" s="294"/>
      <c r="J65" s="294"/>
      <c r="K65" s="294"/>
      <c r="L65" s="294"/>
      <c r="M65" s="294"/>
      <c r="N65" s="295"/>
      <c r="S65"/>
      <c r="T65"/>
      <c r="U65"/>
    </row>
    <row r="66" spans="2:21" ht="22" customHeight="1" x14ac:dyDescent="0.2">
      <c r="B66" s="293"/>
      <c r="C66" s="283"/>
      <c r="D66" s="283"/>
      <c r="E66" s="296" t="s">
        <v>3179</v>
      </c>
      <c r="F66" s="377" t="s">
        <v>3180</v>
      </c>
      <c r="G66" s="377"/>
      <c r="H66" s="377"/>
      <c r="I66" s="296" t="s">
        <v>3033</v>
      </c>
      <c r="J66" s="297"/>
      <c r="K66" s="298"/>
      <c r="L66" s="298"/>
      <c r="M66" s="298"/>
      <c r="N66" s="299"/>
      <c r="S66"/>
      <c r="T66"/>
      <c r="U66"/>
    </row>
    <row r="67" spans="2:21" ht="21" customHeight="1" x14ac:dyDescent="0.2">
      <c r="B67" s="281"/>
      <c r="C67" s="308" t="s">
        <v>3196</v>
      </c>
      <c r="D67" s="308"/>
      <c r="E67" s="309" t="s">
        <v>3181</v>
      </c>
      <c r="F67" s="310" t="s">
        <v>3182</v>
      </c>
      <c r="G67" s="310"/>
      <c r="H67" s="310"/>
      <c r="I67" s="309" t="s">
        <v>3183</v>
      </c>
      <c r="J67" s="309"/>
      <c r="K67" s="311"/>
      <c r="L67" s="298"/>
      <c r="M67" s="298"/>
      <c r="N67" s="299"/>
      <c r="S67"/>
      <c r="T67"/>
      <c r="U67"/>
    </row>
    <row r="68" spans="2:21" ht="21" customHeight="1" x14ac:dyDescent="0.2">
      <c r="B68" s="281"/>
      <c r="C68" s="312" t="s">
        <v>3197</v>
      </c>
      <c r="D68" s="312"/>
      <c r="E68" s="284" t="s">
        <v>3184</v>
      </c>
      <c r="F68" s="313" t="s">
        <v>3185</v>
      </c>
      <c r="G68" s="313"/>
      <c r="H68" s="313"/>
      <c r="I68" s="378" t="s">
        <v>3186</v>
      </c>
      <c r="J68" s="378"/>
      <c r="K68" s="378"/>
      <c r="L68" s="282"/>
      <c r="M68" s="298"/>
      <c r="N68" s="299"/>
      <c r="S68"/>
      <c r="T68"/>
      <c r="U68"/>
    </row>
    <row r="69" spans="2:21" ht="21" customHeight="1" x14ac:dyDescent="0.2">
      <c r="B69" s="281"/>
      <c r="C69" s="378" t="s">
        <v>3187</v>
      </c>
      <c r="D69" s="378"/>
      <c r="E69" s="314" t="s">
        <v>3188</v>
      </c>
      <c r="F69" s="313" t="s">
        <v>3189</v>
      </c>
      <c r="G69" s="315"/>
      <c r="H69" s="315"/>
      <c r="I69" s="284" t="s">
        <v>3190</v>
      </c>
      <c r="J69" s="284"/>
      <c r="K69" s="284"/>
      <c r="L69" s="284"/>
      <c r="M69" s="284"/>
      <c r="N69" s="285"/>
      <c r="O69" s="286"/>
      <c r="Q69" s="287"/>
      <c r="R69" s="287"/>
      <c r="S69" s="287"/>
      <c r="T69" s="287"/>
      <c r="U69"/>
    </row>
    <row r="70" spans="2:21" ht="21" customHeight="1" x14ac:dyDescent="0.2">
      <c r="B70" s="281"/>
      <c r="C70" s="282"/>
      <c r="D70" s="282"/>
      <c r="E70" s="316" t="s">
        <v>3191</v>
      </c>
      <c r="F70" s="317"/>
      <c r="G70" s="317"/>
      <c r="H70" s="317"/>
      <c r="I70" s="318"/>
      <c r="J70" s="282"/>
      <c r="K70" s="282"/>
      <c r="L70" s="282"/>
      <c r="M70" s="282"/>
      <c r="N70" s="288"/>
      <c r="O70" s="289"/>
      <c r="P70" s="289"/>
      <c r="Q70" s="287"/>
      <c r="R70" s="287"/>
      <c r="S70" s="287"/>
      <c r="T70" s="287"/>
      <c r="U70"/>
    </row>
    <row r="71" spans="2:21" ht="21" customHeight="1" x14ac:dyDescent="0.2">
      <c r="B71" s="281"/>
      <c r="C71" s="319" t="s">
        <v>3198</v>
      </c>
      <c r="D71" s="320"/>
      <c r="E71" s="321" t="s">
        <v>3192</v>
      </c>
      <c r="F71" s="322" t="s">
        <v>3193</v>
      </c>
      <c r="G71" s="322"/>
      <c r="H71" s="322"/>
      <c r="I71" s="379" t="s">
        <v>3194</v>
      </c>
      <c r="J71" s="379"/>
      <c r="K71" s="379"/>
      <c r="L71" s="282"/>
      <c r="M71" s="298"/>
      <c r="N71" s="299"/>
      <c r="S71"/>
      <c r="T71"/>
      <c r="U71"/>
    </row>
    <row r="72" spans="2:21" ht="10" customHeight="1" x14ac:dyDescent="0.2">
      <c r="B72" s="281"/>
      <c r="C72" s="283"/>
      <c r="D72" s="294"/>
      <c r="E72" s="284"/>
      <c r="F72" s="284"/>
      <c r="G72" s="284"/>
      <c r="H72" s="284"/>
      <c r="I72" s="282"/>
      <c r="J72" s="282"/>
      <c r="K72" s="282"/>
      <c r="L72" s="282"/>
      <c r="M72" s="298"/>
      <c r="N72" s="299"/>
      <c r="S72"/>
      <c r="T72"/>
      <c r="U72"/>
    </row>
    <row r="73" spans="2:21" ht="20" thickBot="1" x14ac:dyDescent="0.25">
      <c r="B73" s="380" t="s">
        <v>3195</v>
      </c>
      <c r="C73" s="381"/>
      <c r="D73" s="381"/>
      <c r="E73" s="381"/>
      <c r="F73" s="381"/>
      <c r="G73" s="381"/>
      <c r="H73" s="381"/>
      <c r="I73" s="381"/>
      <c r="J73" s="381"/>
      <c r="K73" s="381"/>
      <c r="L73" s="381"/>
      <c r="M73" s="381"/>
      <c r="N73" s="382"/>
      <c r="S73"/>
      <c r="T73"/>
      <c r="U73"/>
    </row>
    <row r="74" spans="2:21" ht="26" customHeight="1" thickTop="1" x14ac:dyDescent="0.25">
      <c r="B74" s="369" t="s">
        <v>56</v>
      </c>
      <c r="C74" s="369"/>
      <c r="D74" s="370"/>
      <c r="E74" s="370"/>
      <c r="F74" s="370"/>
      <c r="G74" s="370"/>
      <c r="H74" s="370"/>
      <c r="I74" s="370"/>
      <c r="J74" s="370"/>
      <c r="K74" s="274"/>
      <c r="L74" s="271"/>
      <c r="M74" s="271"/>
      <c r="N74" s="271"/>
    </row>
    <row r="75" spans="2:21" ht="19" customHeight="1" x14ac:dyDescent="0.2">
      <c r="B75" s="272">
        <v>1</v>
      </c>
      <c r="C75" s="371" t="s">
        <v>3199</v>
      </c>
      <c r="D75" s="371"/>
      <c r="E75" s="371"/>
      <c r="F75" s="371"/>
      <c r="G75" s="371"/>
      <c r="H75" s="371"/>
      <c r="I75" s="371"/>
      <c r="J75" s="371"/>
      <c r="K75" s="371"/>
      <c r="L75" s="371"/>
      <c r="M75" s="371"/>
      <c r="N75" s="371"/>
    </row>
    <row r="76" spans="2:21" x14ac:dyDescent="0.2">
      <c r="B76" s="272"/>
      <c r="C76" s="371"/>
      <c r="D76" s="371"/>
      <c r="E76" s="371"/>
      <c r="F76" s="371"/>
      <c r="G76" s="371"/>
      <c r="H76" s="371"/>
      <c r="I76" s="371"/>
      <c r="J76" s="371"/>
      <c r="K76" s="371"/>
      <c r="L76" s="371"/>
      <c r="M76" s="371"/>
      <c r="N76" s="371"/>
    </row>
    <row r="77" spans="2:21" ht="21" x14ac:dyDescent="0.2">
      <c r="B77" s="272">
        <v>2</v>
      </c>
      <c r="C77" s="109" t="s">
        <v>61</v>
      </c>
      <c r="D77" s="371" t="s">
        <v>3131</v>
      </c>
      <c r="E77" s="371"/>
      <c r="F77" s="371"/>
      <c r="G77" s="371"/>
      <c r="H77" s="371"/>
      <c r="I77" s="371"/>
      <c r="J77" s="371"/>
      <c r="K77" s="371"/>
      <c r="L77" s="371"/>
      <c r="M77" s="371"/>
      <c r="N77" s="371"/>
    </row>
    <row r="78" spans="2:21" ht="8" customHeight="1" x14ac:dyDescent="0.25">
      <c r="N78" s="78"/>
      <c r="O78" s="80"/>
      <c r="P78" s="80"/>
      <c r="Q78" s="80"/>
      <c r="R78" s="80"/>
    </row>
    <row r="79" spans="2:21" ht="19" customHeight="1" x14ac:dyDescent="0.2">
      <c r="D79"/>
      <c r="E79"/>
      <c r="F79"/>
      <c r="G79"/>
      <c r="H79"/>
      <c r="I79"/>
      <c r="J79"/>
      <c r="K79"/>
      <c r="L79"/>
      <c r="M79"/>
      <c r="N79" s="78"/>
    </row>
    <row r="80" spans="2:21" ht="8" customHeight="1" x14ac:dyDescent="0.2">
      <c r="D80"/>
      <c r="E80"/>
      <c r="F80"/>
      <c r="G80"/>
      <c r="H80"/>
      <c r="I80"/>
      <c r="J80"/>
      <c r="K80"/>
      <c r="L80"/>
      <c r="M80"/>
      <c r="N80" s="78"/>
    </row>
    <row r="81" spans="4:14" ht="21" customHeight="1" x14ac:dyDescent="0.2">
      <c r="D81"/>
      <c r="E81"/>
      <c r="F81"/>
      <c r="G81"/>
      <c r="H81"/>
      <c r="I81"/>
      <c r="J81"/>
      <c r="K81"/>
      <c r="L81"/>
      <c r="M81"/>
      <c r="N81" s="78"/>
    </row>
    <row r="82" spans="4:14" ht="8" customHeight="1" x14ac:dyDescent="0.2">
      <c r="D82"/>
      <c r="E82"/>
      <c r="F82"/>
      <c r="G82"/>
      <c r="H82"/>
      <c r="I82"/>
      <c r="J82"/>
      <c r="K82"/>
      <c r="L82"/>
      <c r="M82"/>
      <c r="N82" s="78"/>
    </row>
    <row r="83" spans="4:14" ht="16" x14ac:dyDescent="0.2">
      <c r="D83"/>
      <c r="E83"/>
      <c r="F83"/>
      <c r="G83"/>
      <c r="H83"/>
      <c r="I83"/>
      <c r="J83"/>
      <c r="K83"/>
      <c r="L83"/>
      <c r="M83"/>
      <c r="N83" s="78"/>
    </row>
    <row r="84" spans="4:14" ht="10" customHeight="1" x14ac:dyDescent="0.2">
      <c r="D84"/>
      <c r="E84"/>
      <c r="F84"/>
      <c r="G84"/>
      <c r="H84"/>
      <c r="I84"/>
      <c r="J84"/>
      <c r="K84"/>
      <c r="L84"/>
      <c r="M84"/>
      <c r="N84" s="78"/>
    </row>
    <row r="85" spans="4:14" ht="25" customHeight="1" x14ac:dyDescent="0.2">
      <c r="D85"/>
      <c r="E85"/>
      <c r="F85"/>
      <c r="G85"/>
      <c r="H85"/>
      <c r="I85"/>
      <c r="J85"/>
      <c r="K85"/>
      <c r="L85"/>
      <c r="M85"/>
      <c r="N85" s="78"/>
    </row>
    <row r="86" spans="4:14" ht="16" x14ac:dyDescent="0.2">
      <c r="D86"/>
      <c r="E86"/>
      <c r="F86"/>
      <c r="G86"/>
      <c r="H86"/>
      <c r="I86"/>
      <c r="J86"/>
      <c r="K86"/>
      <c r="L86"/>
      <c r="M86"/>
      <c r="N86" s="78"/>
    </row>
    <row r="87" spans="4:14" ht="16" x14ac:dyDescent="0.2">
      <c r="D87"/>
      <c r="E87"/>
      <c r="F87"/>
      <c r="G87"/>
      <c r="H87"/>
      <c r="I87"/>
      <c r="J87"/>
      <c r="K87"/>
      <c r="L87"/>
      <c r="M87"/>
      <c r="N87" s="78"/>
    </row>
    <row r="88" spans="4:14" ht="26" customHeight="1" x14ac:dyDescent="0.2">
      <c r="D88"/>
      <c r="E88"/>
      <c r="F88"/>
      <c r="G88"/>
      <c r="H88"/>
      <c r="I88"/>
      <c r="J88"/>
      <c r="K88"/>
      <c r="L88"/>
      <c r="M88"/>
      <c r="N88" s="78"/>
    </row>
    <row r="89" spans="4:14" ht="19" customHeight="1" x14ac:dyDescent="0.2">
      <c r="D89"/>
      <c r="E89"/>
      <c r="F89"/>
      <c r="G89"/>
      <c r="H89"/>
      <c r="I89"/>
      <c r="J89"/>
      <c r="K89"/>
      <c r="L89"/>
      <c r="M89"/>
      <c r="N89" s="78"/>
    </row>
    <row r="90" spans="4:14" ht="16" x14ac:dyDescent="0.2">
      <c r="D90"/>
      <c r="E90"/>
      <c r="F90"/>
      <c r="G90"/>
      <c r="H90"/>
      <c r="I90"/>
      <c r="J90"/>
      <c r="K90"/>
      <c r="L90"/>
      <c r="M90"/>
      <c r="N90" s="78"/>
    </row>
    <row r="91" spans="4:14" ht="16" x14ac:dyDescent="0.2">
      <c r="D91"/>
      <c r="E91"/>
      <c r="F91"/>
      <c r="G91"/>
      <c r="H91"/>
      <c r="I91"/>
      <c r="J91"/>
      <c r="K91"/>
      <c r="L91"/>
      <c r="M91"/>
      <c r="N91" s="78"/>
    </row>
    <row r="92" spans="4:14" ht="16" x14ac:dyDescent="0.2">
      <c r="D92"/>
      <c r="E92"/>
      <c r="F92"/>
      <c r="G92"/>
      <c r="H92"/>
      <c r="I92"/>
      <c r="J92"/>
      <c r="K92"/>
      <c r="L92"/>
      <c r="M92"/>
      <c r="N92" s="78"/>
    </row>
    <row r="93" spans="4:14" ht="16" x14ac:dyDescent="0.2">
      <c r="D93"/>
      <c r="E93"/>
      <c r="F93"/>
      <c r="G93"/>
      <c r="H93"/>
      <c r="I93"/>
      <c r="J93"/>
      <c r="K93"/>
      <c r="L93"/>
      <c r="M93"/>
      <c r="N93" s="78"/>
    </row>
    <row r="94" spans="4:14" ht="16" x14ac:dyDescent="0.2">
      <c r="D94"/>
      <c r="E94"/>
      <c r="F94"/>
      <c r="G94"/>
      <c r="H94"/>
      <c r="I94"/>
      <c r="J94"/>
      <c r="K94"/>
      <c r="L94"/>
      <c r="M94"/>
      <c r="N94" s="78"/>
    </row>
    <row r="95" spans="4:14" ht="16" x14ac:dyDescent="0.2">
      <c r="D95"/>
      <c r="E95"/>
      <c r="F95"/>
      <c r="G95"/>
      <c r="H95"/>
      <c r="I95"/>
      <c r="J95"/>
      <c r="K95"/>
      <c r="L95"/>
      <c r="M95"/>
      <c r="N95" s="78"/>
    </row>
    <row r="96" spans="4:14"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L2156"/>
      <c r="M2156"/>
      <c r="N2156" s="78"/>
    </row>
    <row r="2157" spans="4:14" ht="16" x14ac:dyDescent="0.2">
      <c r="D2157"/>
      <c r="E2157"/>
      <c r="F2157"/>
      <c r="G2157"/>
      <c r="H2157"/>
      <c r="I2157"/>
      <c r="J2157"/>
      <c r="K2157"/>
      <c r="L2157"/>
      <c r="M2157"/>
      <c r="N2157" s="78"/>
    </row>
    <row r="2158" spans="4:14" ht="16" x14ac:dyDescent="0.2">
      <c r="D2158"/>
      <c r="E2158"/>
      <c r="F2158"/>
      <c r="G2158"/>
      <c r="H2158"/>
      <c r="I2158"/>
      <c r="J2158"/>
      <c r="K2158"/>
      <c r="L2158"/>
      <c r="M2158"/>
      <c r="N2158" s="78"/>
    </row>
    <row r="2159" spans="4:14" ht="16" x14ac:dyDescent="0.2">
      <c r="D2159"/>
      <c r="E2159"/>
      <c r="F2159"/>
      <c r="G2159"/>
      <c r="H2159"/>
      <c r="I2159"/>
      <c r="J2159"/>
      <c r="K2159"/>
      <c r="L2159"/>
      <c r="M2159"/>
      <c r="N2159" s="78"/>
    </row>
    <row r="2160" spans="4:14" ht="16" x14ac:dyDescent="0.2">
      <c r="D2160"/>
      <c r="E2160"/>
      <c r="F2160"/>
      <c r="G2160"/>
      <c r="H2160"/>
      <c r="I2160"/>
      <c r="J2160"/>
      <c r="K2160"/>
      <c r="L2160"/>
      <c r="M2160"/>
      <c r="N2160" s="78"/>
    </row>
    <row r="2161" spans="4:14" ht="16" x14ac:dyDescent="0.2">
      <c r="D2161"/>
      <c r="E2161"/>
      <c r="F2161"/>
      <c r="G2161"/>
      <c r="H2161"/>
      <c r="I2161"/>
      <c r="J2161"/>
      <c r="K2161"/>
      <c r="L2161"/>
      <c r="M2161"/>
      <c r="N2161" s="78"/>
    </row>
    <row r="2162" spans="4:14" ht="16" x14ac:dyDescent="0.2">
      <c r="D2162"/>
      <c r="E2162"/>
      <c r="F2162"/>
      <c r="G2162"/>
      <c r="H2162"/>
      <c r="I2162"/>
      <c r="J2162"/>
      <c r="K2162"/>
      <c r="L2162"/>
      <c r="M2162"/>
      <c r="N2162" s="78"/>
    </row>
    <row r="2163" spans="4:14" ht="16" x14ac:dyDescent="0.2">
      <c r="D2163"/>
      <c r="E2163"/>
      <c r="F2163"/>
      <c r="G2163"/>
      <c r="H2163"/>
      <c r="I2163"/>
      <c r="J2163"/>
      <c r="K2163"/>
      <c r="L2163"/>
      <c r="M2163"/>
      <c r="N2163" s="78"/>
    </row>
    <row r="2164" spans="4:14" ht="16" x14ac:dyDescent="0.2">
      <c r="D2164"/>
      <c r="E2164"/>
      <c r="F2164"/>
      <c r="G2164"/>
      <c r="H2164"/>
      <c r="I2164"/>
      <c r="J2164"/>
      <c r="K2164"/>
      <c r="L2164"/>
      <c r="M2164"/>
      <c r="N2164" s="78"/>
    </row>
    <row r="2165" spans="4:14" ht="16" x14ac:dyDescent="0.2">
      <c r="D2165"/>
      <c r="E2165"/>
      <c r="F2165"/>
      <c r="G2165"/>
      <c r="H2165"/>
      <c r="I2165"/>
      <c r="J2165"/>
      <c r="K2165"/>
      <c r="L2165"/>
      <c r="M2165"/>
      <c r="N2165" s="78"/>
    </row>
    <row r="2166" spans="4:14" ht="16" x14ac:dyDescent="0.2">
      <c r="D2166"/>
      <c r="E2166"/>
      <c r="F2166"/>
      <c r="G2166"/>
      <c r="H2166"/>
      <c r="I2166"/>
      <c r="J2166"/>
      <c r="K2166"/>
      <c r="L2166"/>
      <c r="M2166"/>
      <c r="N2166" s="78"/>
    </row>
    <row r="2167" spans="4:14" ht="16" x14ac:dyDescent="0.2">
      <c r="D2167"/>
      <c r="E2167"/>
      <c r="F2167"/>
      <c r="G2167"/>
      <c r="H2167"/>
      <c r="I2167"/>
      <c r="J2167"/>
      <c r="K2167"/>
      <c r="L2167"/>
      <c r="M2167"/>
      <c r="N2167" s="78"/>
    </row>
    <row r="2168" spans="4:14" ht="16" x14ac:dyDescent="0.2">
      <c r="D2168"/>
      <c r="E2168"/>
      <c r="F2168"/>
      <c r="G2168"/>
      <c r="H2168"/>
      <c r="I2168"/>
      <c r="J2168"/>
      <c r="K2168"/>
      <c r="L2168"/>
      <c r="M2168"/>
      <c r="N2168" s="78"/>
    </row>
    <row r="2169" spans="4:14" ht="16" x14ac:dyDescent="0.2">
      <c r="D2169"/>
      <c r="E2169"/>
      <c r="F2169"/>
      <c r="G2169"/>
      <c r="H2169"/>
      <c r="I2169"/>
      <c r="J2169"/>
      <c r="K2169"/>
      <c r="L2169"/>
      <c r="M2169"/>
      <c r="N2169" s="78"/>
    </row>
    <row r="2170" spans="4:14" ht="16" x14ac:dyDescent="0.2">
      <c r="D2170"/>
      <c r="E2170"/>
      <c r="F2170"/>
      <c r="G2170"/>
      <c r="H2170"/>
      <c r="I2170"/>
      <c r="J2170"/>
      <c r="K2170"/>
      <c r="L2170"/>
      <c r="M2170"/>
      <c r="N2170" s="78"/>
    </row>
    <row r="2171" spans="4:14" ht="16" x14ac:dyDescent="0.2">
      <c r="D2171"/>
      <c r="E2171"/>
      <c r="F2171"/>
      <c r="G2171"/>
      <c r="H2171"/>
      <c r="I2171"/>
      <c r="J2171"/>
      <c r="K2171"/>
      <c r="L2171"/>
      <c r="M2171"/>
      <c r="N2171" s="78"/>
    </row>
    <row r="2172" spans="4:14" ht="16" x14ac:dyDescent="0.2">
      <c r="D2172"/>
      <c r="E2172"/>
      <c r="F2172"/>
      <c r="G2172"/>
      <c r="H2172"/>
      <c r="I2172"/>
      <c r="J2172"/>
      <c r="K2172"/>
      <c r="L2172"/>
      <c r="M2172"/>
      <c r="N2172" s="78"/>
    </row>
    <row r="2173" spans="4:14" ht="16" x14ac:dyDescent="0.2">
      <c r="D2173"/>
      <c r="E2173"/>
      <c r="F2173"/>
      <c r="G2173"/>
      <c r="H2173"/>
      <c r="I2173"/>
      <c r="J2173"/>
      <c r="K2173"/>
      <c r="L2173"/>
      <c r="M2173"/>
      <c r="N2173" s="78"/>
    </row>
    <row r="2174" spans="4:14" ht="16" x14ac:dyDescent="0.2">
      <c r="D2174"/>
      <c r="E2174"/>
      <c r="F2174"/>
      <c r="G2174"/>
      <c r="H2174"/>
      <c r="I2174"/>
      <c r="J2174"/>
      <c r="K2174"/>
      <c r="L2174"/>
      <c r="M2174"/>
      <c r="N2174" s="78"/>
    </row>
    <row r="2175" spans="4:14" ht="16" x14ac:dyDescent="0.2">
      <c r="D2175"/>
      <c r="E2175"/>
      <c r="F2175"/>
      <c r="G2175"/>
      <c r="H2175"/>
      <c r="I2175"/>
      <c r="J2175"/>
      <c r="K2175"/>
      <c r="L2175"/>
      <c r="M2175"/>
      <c r="N2175" s="78"/>
    </row>
    <row r="2176" spans="4:14" ht="16" x14ac:dyDescent="0.2">
      <c r="D2176"/>
      <c r="E2176"/>
      <c r="F2176"/>
      <c r="G2176"/>
      <c r="H2176"/>
      <c r="I2176"/>
      <c r="J2176"/>
      <c r="K2176"/>
      <c r="L2176"/>
      <c r="M2176"/>
      <c r="N2176" s="78"/>
    </row>
    <row r="2177" spans="4:14" ht="16" x14ac:dyDescent="0.2">
      <c r="D2177"/>
      <c r="E2177"/>
      <c r="F2177"/>
      <c r="G2177"/>
      <c r="H2177"/>
      <c r="I2177"/>
      <c r="J2177"/>
      <c r="K2177"/>
      <c r="L2177"/>
      <c r="M2177"/>
      <c r="N2177" s="78"/>
    </row>
    <row r="2178" spans="4:14" ht="16" x14ac:dyDescent="0.2">
      <c r="D2178"/>
      <c r="E2178"/>
      <c r="F2178"/>
      <c r="G2178"/>
      <c r="H2178"/>
      <c r="I2178"/>
      <c r="J2178"/>
      <c r="K2178"/>
      <c r="L2178"/>
      <c r="M2178"/>
      <c r="N2178" s="78"/>
    </row>
    <row r="2179" spans="4:14" ht="16" x14ac:dyDescent="0.2">
      <c r="D2179"/>
      <c r="E2179"/>
      <c r="F2179"/>
      <c r="G2179"/>
      <c r="H2179"/>
      <c r="I2179"/>
      <c r="J2179"/>
      <c r="K2179"/>
      <c r="L2179"/>
      <c r="M2179"/>
      <c r="N2179" s="78"/>
    </row>
    <row r="2180" spans="4:14" ht="16" x14ac:dyDescent="0.2">
      <c r="D2180"/>
      <c r="E2180"/>
      <c r="F2180"/>
      <c r="G2180"/>
      <c r="H2180"/>
      <c r="I2180"/>
      <c r="J2180"/>
      <c r="K2180"/>
      <c r="L2180"/>
      <c r="M2180"/>
      <c r="N2180" s="78"/>
    </row>
    <row r="2181" spans="4:14" ht="16" x14ac:dyDescent="0.2">
      <c r="D2181"/>
      <c r="E2181"/>
      <c r="F2181"/>
      <c r="G2181"/>
      <c r="H2181"/>
      <c r="I2181"/>
      <c r="J2181"/>
      <c r="K2181"/>
      <c r="L2181"/>
      <c r="M2181"/>
      <c r="N2181" s="78"/>
    </row>
    <row r="2182" spans="4:14" ht="16" x14ac:dyDescent="0.2">
      <c r="D2182"/>
      <c r="E2182"/>
      <c r="F2182"/>
      <c r="G2182"/>
      <c r="H2182"/>
      <c r="I2182"/>
      <c r="J2182"/>
      <c r="K2182"/>
      <c r="L2182"/>
      <c r="M2182"/>
      <c r="N2182" s="78"/>
    </row>
    <row r="2183" spans="4:14" ht="16" x14ac:dyDescent="0.2">
      <c r="D2183"/>
      <c r="E2183"/>
      <c r="F2183"/>
      <c r="G2183"/>
      <c r="H2183"/>
      <c r="I2183"/>
      <c r="J2183"/>
      <c r="K2183"/>
      <c r="L2183"/>
      <c r="M2183"/>
      <c r="N2183" s="78"/>
    </row>
    <row r="2184" spans="4:14" ht="16" x14ac:dyDescent="0.2">
      <c r="D2184"/>
      <c r="E2184"/>
      <c r="F2184"/>
      <c r="G2184"/>
      <c r="H2184"/>
      <c r="I2184"/>
      <c r="J2184"/>
      <c r="K2184"/>
      <c r="L2184"/>
      <c r="M2184"/>
      <c r="N2184" s="78"/>
    </row>
    <row r="2185" spans="4:14" ht="16" x14ac:dyDescent="0.2">
      <c r="D2185"/>
      <c r="E2185"/>
      <c r="F2185"/>
      <c r="G2185"/>
      <c r="H2185"/>
      <c r="I2185"/>
      <c r="J2185"/>
      <c r="K2185"/>
      <c r="L2185"/>
      <c r="M2185"/>
      <c r="N2185" s="78"/>
    </row>
    <row r="2186" spans="4:14" ht="16" x14ac:dyDescent="0.2">
      <c r="D2186"/>
      <c r="E2186"/>
      <c r="F2186"/>
      <c r="G2186"/>
      <c r="H2186"/>
      <c r="I2186"/>
      <c r="J2186"/>
      <c r="K2186"/>
      <c r="L2186"/>
      <c r="M2186"/>
      <c r="N2186" s="78"/>
    </row>
    <row r="2187" spans="4:14" ht="16" x14ac:dyDescent="0.2">
      <c r="D2187"/>
      <c r="E2187"/>
      <c r="F2187"/>
      <c r="G2187"/>
      <c r="H2187"/>
      <c r="I2187"/>
      <c r="J2187"/>
      <c r="K2187"/>
      <c r="L2187"/>
      <c r="M2187"/>
      <c r="N2187" s="78"/>
    </row>
    <row r="2188" spans="4:14" ht="16" x14ac:dyDescent="0.2">
      <c r="D2188"/>
      <c r="E2188"/>
      <c r="F2188"/>
      <c r="G2188"/>
      <c r="H2188"/>
      <c r="I2188"/>
      <c r="J2188"/>
      <c r="K2188"/>
      <c r="L2188"/>
      <c r="M2188"/>
      <c r="N2188" s="78"/>
    </row>
    <row r="2189" spans="4:14" ht="16" x14ac:dyDescent="0.2">
      <c r="D2189"/>
      <c r="E2189"/>
      <c r="F2189"/>
      <c r="G2189"/>
      <c r="H2189"/>
      <c r="I2189"/>
      <c r="J2189"/>
      <c r="K2189"/>
      <c r="L2189"/>
      <c r="M2189"/>
      <c r="N2189" s="78"/>
    </row>
    <row r="2190" spans="4:14" ht="16" x14ac:dyDescent="0.2">
      <c r="D2190"/>
      <c r="E2190"/>
      <c r="F2190"/>
      <c r="G2190"/>
      <c r="H2190"/>
      <c r="I2190"/>
      <c r="J2190"/>
      <c r="K2190"/>
      <c r="L2190"/>
      <c r="M2190"/>
      <c r="N2190" s="78"/>
    </row>
    <row r="2191" spans="4:14" ht="16" x14ac:dyDescent="0.2">
      <c r="D2191"/>
      <c r="E2191"/>
      <c r="F2191"/>
      <c r="G2191"/>
      <c r="H2191"/>
      <c r="I2191"/>
      <c r="J2191"/>
      <c r="K2191"/>
      <c r="L2191"/>
      <c r="M2191"/>
      <c r="N2191" s="78"/>
    </row>
    <row r="2192" spans="4:14" ht="16" x14ac:dyDescent="0.2">
      <c r="D2192"/>
      <c r="E2192"/>
      <c r="F2192"/>
      <c r="G2192"/>
      <c r="H2192"/>
      <c r="I2192"/>
      <c r="J2192"/>
      <c r="K2192"/>
      <c r="L2192"/>
      <c r="M2192"/>
      <c r="N2192" s="78"/>
    </row>
    <row r="2193" spans="4:14" ht="16" x14ac:dyDescent="0.2">
      <c r="D2193"/>
      <c r="E2193"/>
      <c r="F2193"/>
      <c r="G2193"/>
      <c r="H2193"/>
      <c r="I2193"/>
      <c r="J2193"/>
      <c r="K2193"/>
      <c r="L2193"/>
      <c r="M2193"/>
      <c r="N2193" s="78"/>
    </row>
    <row r="2194" spans="4:14" ht="16" x14ac:dyDescent="0.2">
      <c r="D2194"/>
      <c r="E2194"/>
      <c r="F2194"/>
      <c r="G2194"/>
      <c r="H2194"/>
      <c r="I2194"/>
      <c r="J2194"/>
      <c r="K2194"/>
      <c r="L2194"/>
      <c r="M2194"/>
      <c r="N2194" s="78"/>
    </row>
    <row r="2195" spans="4:14" ht="16" x14ac:dyDescent="0.2">
      <c r="D2195"/>
      <c r="E2195"/>
      <c r="F2195"/>
      <c r="G2195"/>
      <c r="H2195"/>
      <c r="I2195"/>
      <c r="J2195"/>
      <c r="K2195"/>
      <c r="L2195"/>
      <c r="M2195"/>
      <c r="N2195" s="78"/>
    </row>
    <row r="2196" spans="4:14" ht="16" x14ac:dyDescent="0.2">
      <c r="D2196"/>
      <c r="E2196"/>
      <c r="F2196"/>
      <c r="G2196"/>
      <c r="H2196"/>
      <c r="I2196"/>
      <c r="J2196"/>
      <c r="K2196"/>
      <c r="L2196"/>
      <c r="M2196"/>
      <c r="N2196" s="78"/>
    </row>
    <row r="2197" spans="4:14" ht="16" x14ac:dyDescent="0.2">
      <c r="D2197"/>
      <c r="E2197"/>
      <c r="F2197"/>
      <c r="G2197"/>
      <c r="H2197"/>
      <c r="I2197"/>
      <c r="J2197"/>
      <c r="K2197"/>
      <c r="L2197"/>
      <c r="M2197"/>
      <c r="N2197" s="78"/>
    </row>
    <row r="2198" spans="4:14" ht="16" x14ac:dyDescent="0.2">
      <c r="D2198"/>
      <c r="E2198"/>
      <c r="F2198"/>
      <c r="G2198"/>
      <c r="H2198"/>
      <c r="I2198"/>
      <c r="J2198"/>
      <c r="K2198"/>
      <c r="L2198"/>
      <c r="M2198"/>
      <c r="N2198" s="78"/>
    </row>
    <row r="2199" spans="4:14" ht="16" x14ac:dyDescent="0.2">
      <c r="D2199"/>
      <c r="E2199"/>
      <c r="F2199"/>
      <c r="G2199"/>
      <c r="H2199"/>
      <c r="I2199"/>
      <c r="J2199"/>
      <c r="K2199"/>
      <c r="L2199"/>
      <c r="M2199"/>
      <c r="N2199" s="78"/>
    </row>
    <row r="2200" spans="4:14" ht="16" x14ac:dyDescent="0.2">
      <c r="D2200"/>
      <c r="E2200"/>
      <c r="F2200"/>
      <c r="G2200"/>
      <c r="H2200"/>
      <c r="I2200"/>
      <c r="J2200"/>
      <c r="K2200"/>
      <c r="L2200"/>
      <c r="M2200"/>
      <c r="N2200" s="78"/>
    </row>
    <row r="2201" spans="4:14" ht="16" x14ac:dyDescent="0.2">
      <c r="D2201"/>
      <c r="E2201"/>
      <c r="F2201"/>
      <c r="G2201"/>
      <c r="H2201"/>
      <c r="I2201"/>
      <c r="J2201"/>
      <c r="K2201"/>
      <c r="L2201"/>
      <c r="M2201"/>
      <c r="N2201" s="78"/>
    </row>
    <row r="2202" spans="4:14" ht="16" x14ac:dyDescent="0.2">
      <c r="D2202"/>
      <c r="E2202"/>
      <c r="F2202"/>
      <c r="G2202"/>
      <c r="H2202"/>
      <c r="I2202"/>
      <c r="J2202"/>
      <c r="K2202"/>
      <c r="L2202"/>
      <c r="M2202"/>
      <c r="N2202" s="78"/>
    </row>
    <row r="2203" spans="4:14" ht="16" x14ac:dyDescent="0.2">
      <c r="D2203"/>
      <c r="E2203"/>
      <c r="F2203"/>
      <c r="G2203"/>
      <c r="H2203"/>
      <c r="I2203"/>
      <c r="J2203"/>
      <c r="K2203"/>
      <c r="L2203"/>
      <c r="M2203"/>
      <c r="N2203" s="78"/>
    </row>
    <row r="2204" spans="4:14" ht="16" x14ac:dyDescent="0.2">
      <c r="D2204"/>
      <c r="E2204"/>
      <c r="F2204"/>
      <c r="G2204"/>
      <c r="H2204"/>
      <c r="I2204"/>
      <c r="J2204"/>
      <c r="K2204"/>
      <c r="L2204"/>
      <c r="M2204"/>
      <c r="N2204" s="78"/>
    </row>
    <row r="2205" spans="4:14" ht="16" x14ac:dyDescent="0.2">
      <c r="D2205"/>
      <c r="E2205"/>
      <c r="F2205"/>
      <c r="G2205"/>
      <c r="H2205"/>
      <c r="I2205"/>
      <c r="J2205"/>
      <c r="K2205"/>
      <c r="L2205"/>
      <c r="M2205"/>
      <c r="N2205" s="78"/>
    </row>
    <row r="2206" spans="4:14" ht="16" x14ac:dyDescent="0.2">
      <c r="D2206"/>
      <c r="E2206"/>
      <c r="F2206"/>
      <c r="G2206"/>
      <c r="H2206"/>
      <c r="I2206"/>
      <c r="J2206"/>
      <c r="K2206"/>
      <c r="L2206"/>
      <c r="M2206"/>
      <c r="N2206" s="78"/>
    </row>
    <row r="2207" spans="4:14" ht="16" x14ac:dyDescent="0.2">
      <c r="D2207"/>
      <c r="E2207"/>
      <c r="F2207"/>
      <c r="G2207"/>
      <c r="H2207"/>
      <c r="I2207"/>
      <c r="J2207"/>
      <c r="K2207"/>
      <c r="L2207"/>
      <c r="M2207"/>
      <c r="N2207" s="78"/>
    </row>
    <row r="2208" spans="4:14" ht="16" x14ac:dyDescent="0.2">
      <c r="D2208"/>
      <c r="E2208"/>
      <c r="F2208"/>
      <c r="G2208"/>
      <c r="H2208"/>
      <c r="I2208"/>
      <c r="J2208"/>
      <c r="K2208"/>
      <c r="L2208"/>
      <c r="M2208"/>
      <c r="N2208" s="78"/>
    </row>
    <row r="2209" spans="4:14" ht="16" x14ac:dyDescent="0.2">
      <c r="D2209"/>
      <c r="E2209"/>
      <c r="F2209"/>
      <c r="G2209"/>
      <c r="H2209"/>
      <c r="I2209"/>
      <c r="J2209"/>
      <c r="K2209"/>
      <c r="L2209"/>
      <c r="M2209"/>
      <c r="N2209" s="78"/>
    </row>
    <row r="2210" spans="4:14" ht="16" x14ac:dyDescent="0.2">
      <c r="D2210"/>
      <c r="E2210"/>
      <c r="F2210"/>
      <c r="G2210"/>
      <c r="H2210"/>
      <c r="I2210"/>
      <c r="J2210"/>
      <c r="K2210"/>
      <c r="L2210"/>
      <c r="M2210"/>
      <c r="N2210" s="78"/>
    </row>
    <row r="2211" spans="4:14" ht="16" x14ac:dyDescent="0.2">
      <c r="D2211"/>
      <c r="E2211"/>
      <c r="F2211"/>
      <c r="G2211"/>
      <c r="H2211"/>
      <c r="I2211"/>
      <c r="J2211"/>
      <c r="K2211"/>
      <c r="L2211"/>
      <c r="M2211"/>
      <c r="N2211" s="78"/>
    </row>
    <row r="2212" spans="4:14" ht="16" x14ac:dyDescent="0.2">
      <c r="D2212"/>
      <c r="E2212"/>
      <c r="F2212"/>
      <c r="G2212"/>
      <c r="H2212"/>
      <c r="I2212"/>
      <c r="J2212"/>
      <c r="K2212"/>
      <c r="L2212"/>
      <c r="M2212"/>
      <c r="N2212" s="78"/>
    </row>
    <row r="2213" spans="4:14" ht="16" x14ac:dyDescent="0.2">
      <c r="D2213"/>
      <c r="E2213"/>
      <c r="F2213"/>
      <c r="G2213"/>
      <c r="H2213"/>
      <c r="I2213"/>
      <c r="J2213"/>
      <c r="K2213"/>
      <c r="L2213"/>
      <c r="M2213"/>
      <c r="N2213" s="78"/>
    </row>
    <row r="2214" spans="4:14" ht="16" x14ac:dyDescent="0.2">
      <c r="D2214"/>
      <c r="E2214"/>
      <c r="F2214"/>
      <c r="G2214"/>
      <c r="H2214"/>
      <c r="I2214"/>
      <c r="J2214"/>
      <c r="K2214"/>
      <c r="L2214"/>
      <c r="M2214"/>
      <c r="N2214" s="78"/>
    </row>
    <row r="2215" spans="4:14" ht="16" x14ac:dyDescent="0.2">
      <c r="D2215"/>
      <c r="E2215"/>
      <c r="F2215"/>
      <c r="G2215"/>
      <c r="H2215"/>
      <c r="I2215"/>
      <c r="J2215"/>
      <c r="K2215"/>
      <c r="L2215"/>
      <c r="M2215"/>
      <c r="N2215" s="78"/>
    </row>
    <row r="2216" spans="4:14" ht="16" x14ac:dyDescent="0.2">
      <c r="D2216"/>
      <c r="E2216"/>
      <c r="F2216"/>
      <c r="G2216"/>
      <c r="H2216"/>
      <c r="I2216"/>
      <c r="J2216"/>
      <c r="K2216"/>
      <c r="L2216"/>
      <c r="M2216"/>
      <c r="N2216" s="78"/>
    </row>
    <row r="2217" spans="4:14" ht="16" x14ac:dyDescent="0.2">
      <c r="D2217"/>
      <c r="E2217"/>
      <c r="F2217"/>
      <c r="G2217"/>
      <c r="H2217"/>
      <c r="I2217"/>
      <c r="J2217"/>
      <c r="K2217"/>
      <c r="L2217"/>
      <c r="M2217"/>
      <c r="N2217" s="78"/>
    </row>
    <row r="2218" spans="4:14" ht="16" x14ac:dyDescent="0.2">
      <c r="D2218"/>
      <c r="E2218"/>
      <c r="F2218"/>
      <c r="G2218"/>
      <c r="H2218"/>
      <c r="I2218"/>
      <c r="J2218"/>
      <c r="K2218"/>
      <c r="L2218"/>
      <c r="M2218"/>
      <c r="N2218" s="78"/>
    </row>
    <row r="2219" spans="4:14" ht="16" x14ac:dyDescent="0.2">
      <c r="D2219"/>
      <c r="E2219"/>
      <c r="F2219"/>
      <c r="G2219"/>
      <c r="H2219"/>
      <c r="I2219"/>
      <c r="J2219"/>
      <c r="K2219"/>
      <c r="L2219"/>
      <c r="M2219"/>
      <c r="N2219" s="78"/>
    </row>
    <row r="2220" spans="4:14" ht="16" x14ac:dyDescent="0.2">
      <c r="D2220"/>
      <c r="E2220"/>
      <c r="F2220"/>
      <c r="G2220"/>
      <c r="H2220"/>
      <c r="I2220"/>
      <c r="J2220"/>
      <c r="K2220"/>
      <c r="L2220"/>
      <c r="M2220"/>
      <c r="N2220" s="78"/>
    </row>
    <row r="2221" spans="4:14" ht="16" x14ac:dyDescent="0.2">
      <c r="D2221"/>
      <c r="E2221"/>
      <c r="F2221"/>
      <c r="G2221"/>
      <c r="H2221"/>
      <c r="I2221"/>
      <c r="J2221"/>
      <c r="K2221"/>
      <c r="L2221"/>
      <c r="M2221"/>
      <c r="N2221" s="78"/>
    </row>
    <row r="2222" spans="4:14" ht="16" x14ac:dyDescent="0.2">
      <c r="D2222"/>
      <c r="E2222"/>
      <c r="F2222"/>
      <c r="G2222"/>
      <c r="H2222"/>
      <c r="I2222"/>
      <c r="J2222"/>
      <c r="K2222"/>
      <c r="L2222"/>
      <c r="M2222"/>
      <c r="N2222" s="78"/>
    </row>
    <row r="2223" spans="4:14" ht="16" x14ac:dyDescent="0.2">
      <c r="D2223"/>
      <c r="E2223"/>
      <c r="F2223"/>
      <c r="G2223"/>
      <c r="H2223"/>
      <c r="I2223"/>
      <c r="J2223"/>
      <c r="K2223"/>
      <c r="L2223"/>
      <c r="M2223"/>
      <c r="N2223" s="78"/>
    </row>
    <row r="2224" spans="4:14" ht="16" x14ac:dyDescent="0.2">
      <c r="D2224"/>
      <c r="E2224"/>
      <c r="F2224"/>
      <c r="G2224"/>
      <c r="H2224"/>
      <c r="I2224"/>
      <c r="J2224"/>
      <c r="K2224"/>
      <c r="L2224"/>
      <c r="M2224"/>
      <c r="N2224" s="78"/>
    </row>
    <row r="2225" spans="4:14" ht="16" x14ac:dyDescent="0.2">
      <c r="D2225"/>
      <c r="E2225"/>
      <c r="F2225"/>
      <c r="G2225"/>
      <c r="H2225"/>
      <c r="I2225"/>
      <c r="J2225"/>
      <c r="K2225"/>
      <c r="L2225"/>
      <c r="M2225"/>
      <c r="N2225" s="78"/>
    </row>
    <row r="2226" spans="4:14" ht="16" x14ac:dyDescent="0.2">
      <c r="D2226"/>
      <c r="E2226"/>
      <c r="F2226"/>
      <c r="G2226"/>
      <c r="H2226"/>
      <c r="I2226"/>
      <c r="J2226"/>
      <c r="K2226"/>
      <c r="L2226"/>
      <c r="M2226"/>
      <c r="N2226" s="78"/>
    </row>
    <row r="2227" spans="4:14" ht="16" x14ac:dyDescent="0.2">
      <c r="D2227"/>
      <c r="E2227"/>
      <c r="F2227"/>
      <c r="G2227"/>
      <c r="H2227"/>
      <c r="I2227"/>
      <c r="J2227"/>
      <c r="K2227"/>
      <c r="L2227"/>
      <c r="M2227"/>
      <c r="N2227" s="78"/>
    </row>
    <row r="2228" spans="4:14" ht="16" x14ac:dyDescent="0.2">
      <c r="D2228"/>
      <c r="E2228"/>
      <c r="F2228"/>
      <c r="G2228"/>
      <c r="H2228"/>
      <c r="I2228"/>
      <c r="J2228"/>
      <c r="K2228"/>
      <c r="L2228"/>
      <c r="M2228"/>
      <c r="N2228" s="78"/>
    </row>
    <row r="2229" spans="4:14" ht="16" x14ac:dyDescent="0.2">
      <c r="D2229"/>
      <c r="E2229"/>
      <c r="F2229"/>
      <c r="G2229"/>
      <c r="H2229"/>
      <c r="I2229"/>
      <c r="J2229"/>
      <c r="K2229"/>
      <c r="L2229"/>
      <c r="M2229"/>
      <c r="N2229" s="78"/>
    </row>
    <row r="2230" spans="4:14" ht="16" x14ac:dyDescent="0.2">
      <c r="D2230"/>
      <c r="E2230"/>
      <c r="F2230"/>
      <c r="G2230"/>
      <c r="H2230"/>
      <c r="I2230"/>
      <c r="J2230"/>
      <c r="K2230"/>
      <c r="L2230"/>
      <c r="M2230"/>
      <c r="N2230" s="78"/>
    </row>
    <row r="2231" spans="4:14" ht="16" x14ac:dyDescent="0.2">
      <c r="D2231"/>
      <c r="E2231"/>
      <c r="F2231"/>
      <c r="G2231"/>
      <c r="H2231"/>
      <c r="I2231"/>
      <c r="J2231"/>
      <c r="K2231"/>
      <c r="L2231"/>
      <c r="M2231"/>
      <c r="N2231" s="78"/>
    </row>
    <row r="2232" spans="4:14" ht="16" x14ac:dyDescent="0.2">
      <c r="D2232"/>
      <c r="E2232"/>
      <c r="F2232"/>
      <c r="G2232"/>
      <c r="H2232"/>
      <c r="I2232"/>
      <c r="J2232"/>
      <c r="K2232"/>
      <c r="L2232"/>
      <c r="M2232"/>
      <c r="N2232" s="78"/>
    </row>
    <row r="2233" spans="4:14" ht="16" x14ac:dyDescent="0.2">
      <c r="D2233"/>
      <c r="E2233"/>
      <c r="F2233"/>
      <c r="G2233"/>
      <c r="H2233"/>
      <c r="I2233"/>
      <c r="J2233"/>
      <c r="K2233"/>
      <c r="L2233"/>
      <c r="M2233"/>
      <c r="N2233" s="78"/>
    </row>
    <row r="2234" spans="4:14" ht="16" x14ac:dyDescent="0.2">
      <c r="D2234"/>
      <c r="E2234"/>
      <c r="F2234"/>
      <c r="G2234"/>
      <c r="H2234"/>
      <c r="I2234"/>
      <c r="J2234"/>
      <c r="K2234"/>
      <c r="L2234"/>
      <c r="M2234"/>
      <c r="N2234" s="78"/>
    </row>
    <row r="2235" spans="4:14" ht="16" x14ac:dyDescent="0.2">
      <c r="D2235"/>
      <c r="E2235"/>
      <c r="F2235"/>
      <c r="G2235"/>
      <c r="H2235"/>
      <c r="I2235"/>
      <c r="J2235"/>
      <c r="K2235"/>
      <c r="L2235"/>
      <c r="M2235"/>
      <c r="N2235" s="78"/>
    </row>
    <row r="2236" spans="4:14" ht="16" x14ac:dyDescent="0.2">
      <c r="D2236"/>
      <c r="E2236"/>
      <c r="F2236"/>
      <c r="G2236"/>
      <c r="H2236"/>
      <c r="I2236"/>
      <c r="J2236"/>
      <c r="K2236"/>
      <c r="L2236"/>
      <c r="M2236"/>
      <c r="N2236" s="78"/>
    </row>
    <row r="2237" spans="4:14" ht="16" x14ac:dyDescent="0.2">
      <c r="D2237"/>
      <c r="E2237"/>
      <c r="F2237"/>
      <c r="G2237"/>
      <c r="H2237"/>
      <c r="I2237"/>
      <c r="J2237"/>
      <c r="K2237"/>
      <c r="L2237"/>
      <c r="M2237"/>
      <c r="N2237" s="78"/>
    </row>
    <row r="2238" spans="4:14" ht="16" x14ac:dyDescent="0.2">
      <c r="D2238"/>
      <c r="E2238"/>
      <c r="F2238"/>
      <c r="G2238"/>
      <c r="H2238"/>
      <c r="I2238"/>
      <c r="J2238"/>
      <c r="K2238"/>
      <c r="L2238"/>
      <c r="M2238"/>
      <c r="N2238" s="78"/>
    </row>
    <row r="2239" spans="4:14" ht="16" x14ac:dyDescent="0.2">
      <c r="D2239"/>
      <c r="E2239"/>
      <c r="F2239"/>
      <c r="G2239"/>
      <c r="H2239"/>
      <c r="I2239"/>
      <c r="J2239"/>
      <c r="K2239"/>
      <c r="L2239"/>
      <c r="M2239"/>
      <c r="N2239" s="78"/>
    </row>
    <row r="2240" spans="4:14" ht="16" x14ac:dyDescent="0.2">
      <c r="D2240"/>
      <c r="E2240"/>
      <c r="F2240"/>
      <c r="G2240"/>
      <c r="H2240"/>
      <c r="I2240"/>
      <c r="J2240"/>
      <c r="K2240"/>
      <c r="L2240"/>
      <c r="M2240"/>
      <c r="N2240" s="78"/>
    </row>
    <row r="2241" spans="4:14" ht="16" x14ac:dyDescent="0.2">
      <c r="D2241"/>
      <c r="E2241"/>
      <c r="F2241"/>
      <c r="G2241"/>
      <c r="H2241"/>
      <c r="I2241"/>
      <c r="J2241"/>
      <c r="K2241"/>
      <c r="L2241"/>
      <c r="M2241"/>
      <c r="N2241" s="78"/>
    </row>
    <row r="2242" spans="4:14" ht="16" x14ac:dyDescent="0.2">
      <c r="D2242"/>
      <c r="E2242"/>
      <c r="F2242"/>
      <c r="G2242"/>
      <c r="H2242"/>
      <c r="I2242"/>
      <c r="J2242"/>
      <c r="K2242"/>
      <c r="L2242"/>
      <c r="M2242"/>
      <c r="N2242" s="78"/>
    </row>
    <row r="2243" spans="4:14" ht="16" x14ac:dyDescent="0.2">
      <c r="D2243"/>
      <c r="E2243"/>
      <c r="F2243"/>
      <c r="G2243"/>
      <c r="H2243"/>
      <c r="I2243"/>
      <c r="J2243"/>
      <c r="K2243"/>
      <c r="L2243"/>
      <c r="M2243"/>
      <c r="N2243" s="78"/>
    </row>
    <row r="2244" spans="4:14" ht="16" x14ac:dyDescent="0.2">
      <c r="D2244"/>
      <c r="E2244"/>
      <c r="F2244"/>
      <c r="G2244"/>
      <c r="H2244"/>
      <c r="I2244"/>
      <c r="J2244"/>
      <c r="K2244"/>
      <c r="L2244"/>
      <c r="M2244"/>
      <c r="N2244" s="78"/>
    </row>
    <row r="2245" spans="4:14" ht="16" x14ac:dyDescent="0.2">
      <c r="D2245"/>
      <c r="E2245"/>
      <c r="F2245"/>
      <c r="G2245"/>
      <c r="H2245"/>
      <c r="I2245"/>
      <c r="J2245"/>
      <c r="K2245"/>
      <c r="L2245"/>
      <c r="M2245"/>
      <c r="N2245" s="78"/>
    </row>
    <row r="2246" spans="4:14" ht="16" x14ac:dyDescent="0.2">
      <c r="D2246"/>
      <c r="E2246"/>
      <c r="F2246"/>
      <c r="G2246"/>
      <c r="H2246"/>
      <c r="I2246"/>
      <c r="J2246"/>
      <c r="K2246"/>
      <c r="L2246"/>
      <c r="M2246"/>
      <c r="N2246" s="78"/>
    </row>
    <row r="2247" spans="4:14" ht="16" x14ac:dyDescent="0.2">
      <c r="D2247"/>
      <c r="E2247"/>
      <c r="F2247"/>
      <c r="G2247"/>
      <c r="H2247"/>
      <c r="I2247"/>
      <c r="J2247"/>
      <c r="K2247"/>
      <c r="L2247"/>
      <c r="M2247"/>
      <c r="N2247" s="78"/>
    </row>
    <row r="2248" spans="4:14" ht="16" x14ac:dyDescent="0.2">
      <c r="D2248"/>
      <c r="E2248"/>
      <c r="F2248"/>
      <c r="G2248"/>
      <c r="H2248"/>
      <c r="I2248"/>
      <c r="J2248"/>
      <c r="K2248"/>
      <c r="L2248"/>
      <c r="M2248"/>
      <c r="N2248" s="78"/>
    </row>
    <row r="2249" spans="4:14" ht="16" x14ac:dyDescent="0.2">
      <c r="D2249"/>
      <c r="E2249"/>
      <c r="F2249"/>
      <c r="G2249"/>
      <c r="H2249"/>
      <c r="I2249"/>
      <c r="J2249"/>
      <c r="K2249"/>
      <c r="L2249"/>
      <c r="M2249"/>
      <c r="N2249" s="78"/>
    </row>
    <row r="2250" spans="4:14" ht="16" x14ac:dyDescent="0.2">
      <c r="D2250"/>
      <c r="E2250"/>
      <c r="F2250"/>
      <c r="G2250"/>
      <c r="H2250"/>
      <c r="I2250"/>
      <c r="J2250"/>
      <c r="K2250"/>
      <c r="L2250"/>
      <c r="M2250"/>
      <c r="N2250" s="78"/>
    </row>
    <row r="2251" spans="4:14" ht="16" x14ac:dyDescent="0.2">
      <c r="D2251"/>
      <c r="E2251"/>
      <c r="F2251"/>
      <c r="G2251"/>
      <c r="H2251"/>
      <c r="I2251"/>
      <c r="J2251"/>
      <c r="K2251"/>
      <c r="L2251"/>
      <c r="M2251"/>
      <c r="N2251" s="78"/>
    </row>
    <row r="2252" spans="4:14" ht="16" x14ac:dyDescent="0.2">
      <c r="D2252"/>
      <c r="E2252"/>
      <c r="F2252"/>
      <c r="G2252"/>
      <c r="H2252"/>
      <c r="I2252"/>
      <c r="J2252"/>
      <c r="K2252"/>
      <c r="L2252"/>
      <c r="M2252"/>
      <c r="N2252" s="78"/>
    </row>
    <row r="2253" spans="4:14" ht="16" x14ac:dyDescent="0.2">
      <c r="D2253"/>
      <c r="E2253"/>
      <c r="F2253"/>
      <c r="G2253"/>
      <c r="H2253"/>
      <c r="I2253"/>
      <c r="J2253"/>
      <c r="K2253"/>
      <c r="L2253"/>
      <c r="M2253"/>
      <c r="N2253" s="78"/>
    </row>
    <row r="2254" spans="4:14" ht="16" x14ac:dyDescent="0.2">
      <c r="D2254"/>
      <c r="E2254"/>
      <c r="F2254"/>
      <c r="G2254"/>
      <c r="H2254"/>
      <c r="I2254"/>
      <c r="J2254"/>
      <c r="K2254"/>
      <c r="L2254"/>
      <c r="M2254"/>
      <c r="N2254" s="78"/>
    </row>
    <row r="2255" spans="4:14" ht="16" x14ac:dyDescent="0.2">
      <c r="D2255"/>
      <c r="E2255"/>
      <c r="F2255"/>
      <c r="G2255"/>
      <c r="H2255"/>
      <c r="I2255"/>
      <c r="J2255"/>
      <c r="K2255"/>
      <c r="L2255"/>
      <c r="M2255"/>
      <c r="N2255" s="78"/>
    </row>
    <row r="2256" spans="4:14" ht="16" x14ac:dyDescent="0.2">
      <c r="D2256"/>
      <c r="E2256"/>
      <c r="F2256"/>
      <c r="G2256"/>
      <c r="H2256"/>
      <c r="I2256"/>
      <c r="J2256"/>
      <c r="K2256"/>
      <c r="L2256"/>
      <c r="M2256"/>
      <c r="N2256" s="78"/>
    </row>
    <row r="2257" spans="4:14" ht="16" x14ac:dyDescent="0.2">
      <c r="D2257"/>
      <c r="E2257"/>
      <c r="F2257"/>
      <c r="G2257"/>
      <c r="H2257"/>
      <c r="I2257"/>
      <c r="J2257"/>
      <c r="K2257"/>
      <c r="L2257"/>
      <c r="M2257"/>
      <c r="N2257" s="78"/>
    </row>
    <row r="2258" spans="4:14" ht="16" x14ac:dyDescent="0.2">
      <c r="D2258"/>
      <c r="E2258"/>
      <c r="F2258"/>
      <c r="G2258"/>
      <c r="H2258"/>
      <c r="I2258"/>
      <c r="J2258"/>
      <c r="K2258"/>
      <c r="L2258"/>
      <c r="M2258"/>
      <c r="N2258" s="78"/>
    </row>
    <row r="2259" spans="4:14" ht="16" x14ac:dyDescent="0.2">
      <c r="D2259"/>
      <c r="E2259"/>
      <c r="F2259"/>
      <c r="G2259"/>
      <c r="H2259"/>
      <c r="I2259"/>
      <c r="J2259"/>
      <c r="K2259"/>
      <c r="L2259"/>
      <c r="M2259"/>
      <c r="N2259" s="78"/>
    </row>
    <row r="2260" spans="4:14" ht="16" x14ac:dyDescent="0.2">
      <c r="D2260"/>
      <c r="E2260"/>
      <c r="F2260"/>
      <c r="G2260"/>
      <c r="H2260"/>
      <c r="I2260"/>
      <c r="J2260"/>
      <c r="K2260"/>
      <c r="L2260"/>
      <c r="M2260"/>
      <c r="N2260" s="78"/>
    </row>
    <row r="2261" spans="4:14" ht="16" x14ac:dyDescent="0.2">
      <c r="D2261"/>
      <c r="E2261"/>
      <c r="F2261"/>
      <c r="G2261"/>
      <c r="H2261"/>
      <c r="I2261"/>
      <c r="J2261"/>
      <c r="K2261"/>
      <c r="L2261"/>
      <c r="M2261"/>
      <c r="N2261" s="78"/>
    </row>
    <row r="2262" spans="4:14" ht="16" x14ac:dyDescent="0.2">
      <c r="D2262"/>
      <c r="E2262"/>
      <c r="F2262"/>
      <c r="G2262"/>
      <c r="H2262"/>
      <c r="I2262"/>
      <c r="J2262"/>
      <c r="K2262"/>
      <c r="L2262"/>
      <c r="M2262"/>
      <c r="N2262" s="78"/>
    </row>
    <row r="2263" spans="4:14" ht="16" x14ac:dyDescent="0.2">
      <c r="D2263"/>
      <c r="E2263"/>
      <c r="F2263"/>
      <c r="G2263"/>
      <c r="H2263"/>
      <c r="I2263"/>
      <c r="J2263"/>
      <c r="K2263"/>
      <c r="L2263"/>
      <c r="M2263"/>
      <c r="N2263" s="78"/>
    </row>
    <row r="2264" spans="4:14" ht="16" x14ac:dyDescent="0.2">
      <c r="D2264"/>
      <c r="E2264"/>
      <c r="F2264"/>
      <c r="G2264"/>
      <c r="H2264"/>
      <c r="I2264"/>
      <c r="J2264"/>
      <c r="K2264"/>
      <c r="L2264"/>
      <c r="M2264"/>
      <c r="N2264" s="78"/>
    </row>
    <row r="2265" spans="4:14" ht="16" x14ac:dyDescent="0.2">
      <c r="D2265"/>
      <c r="E2265"/>
      <c r="F2265"/>
      <c r="G2265"/>
      <c r="H2265"/>
      <c r="I2265"/>
      <c r="J2265"/>
      <c r="K2265"/>
      <c r="L2265"/>
      <c r="M2265"/>
      <c r="N2265" s="78"/>
    </row>
    <row r="2266" spans="4:14" ht="16" x14ac:dyDescent="0.2">
      <c r="D2266"/>
      <c r="E2266"/>
      <c r="F2266"/>
      <c r="G2266"/>
      <c r="H2266"/>
      <c r="I2266"/>
      <c r="J2266"/>
      <c r="K2266"/>
      <c r="L2266"/>
      <c r="M2266"/>
      <c r="N2266" s="78"/>
    </row>
    <row r="2267" spans="4:14" ht="16" x14ac:dyDescent="0.2">
      <c r="D2267"/>
      <c r="E2267"/>
      <c r="F2267"/>
      <c r="G2267"/>
      <c r="H2267"/>
      <c r="I2267"/>
      <c r="J2267"/>
      <c r="K2267"/>
      <c r="L2267"/>
      <c r="M2267"/>
      <c r="N2267" s="78"/>
    </row>
    <row r="2268" spans="4:14" ht="16" x14ac:dyDescent="0.2">
      <c r="D2268"/>
      <c r="E2268"/>
      <c r="F2268"/>
      <c r="G2268"/>
      <c r="H2268"/>
      <c r="I2268"/>
      <c r="J2268"/>
      <c r="K2268"/>
      <c r="L2268"/>
      <c r="M2268"/>
      <c r="N2268" s="78"/>
    </row>
    <row r="2269" spans="4:14" ht="16" x14ac:dyDescent="0.2">
      <c r="D2269"/>
      <c r="E2269"/>
      <c r="F2269"/>
      <c r="G2269"/>
      <c r="H2269"/>
      <c r="I2269"/>
      <c r="J2269"/>
      <c r="K2269"/>
      <c r="L2269"/>
      <c r="M2269"/>
      <c r="N2269" s="78"/>
    </row>
    <row r="2270" spans="4:14" ht="16" x14ac:dyDescent="0.2">
      <c r="D2270"/>
      <c r="E2270"/>
      <c r="F2270"/>
      <c r="G2270"/>
      <c r="H2270"/>
      <c r="I2270"/>
      <c r="J2270"/>
      <c r="K2270"/>
      <c r="L2270"/>
      <c r="M2270"/>
      <c r="N2270" s="78"/>
    </row>
    <row r="2271" spans="4:14" ht="16" x14ac:dyDescent="0.2">
      <c r="D2271"/>
      <c r="E2271"/>
      <c r="F2271"/>
      <c r="G2271"/>
      <c r="H2271"/>
      <c r="I2271"/>
      <c r="J2271"/>
      <c r="K2271"/>
      <c r="L2271"/>
      <c r="M2271"/>
      <c r="N2271" s="78"/>
    </row>
    <row r="2272" spans="4:14" ht="16" x14ac:dyDescent="0.2">
      <c r="D2272"/>
      <c r="E2272"/>
      <c r="F2272"/>
      <c r="G2272"/>
      <c r="H2272"/>
      <c r="I2272"/>
      <c r="J2272"/>
      <c r="K2272"/>
      <c r="L2272"/>
      <c r="M2272"/>
      <c r="N2272" s="78"/>
    </row>
    <row r="2273" spans="4:14" ht="16" x14ac:dyDescent="0.2">
      <c r="D2273"/>
      <c r="E2273"/>
      <c r="F2273"/>
      <c r="G2273"/>
      <c r="H2273"/>
      <c r="I2273"/>
      <c r="J2273"/>
      <c r="K2273"/>
      <c r="L2273"/>
      <c r="M2273"/>
      <c r="N2273" s="78"/>
    </row>
    <row r="2274" spans="4:14" ht="16" x14ac:dyDescent="0.2">
      <c r="D2274"/>
      <c r="E2274"/>
      <c r="F2274"/>
      <c r="G2274"/>
      <c r="H2274"/>
      <c r="I2274"/>
      <c r="J2274"/>
      <c r="K2274"/>
      <c r="L2274"/>
      <c r="M2274"/>
      <c r="N2274" s="78"/>
    </row>
    <row r="2275" spans="4:14" ht="16" x14ac:dyDescent="0.2">
      <c r="D2275"/>
      <c r="E2275"/>
      <c r="F2275"/>
      <c r="G2275"/>
      <c r="H2275"/>
      <c r="I2275"/>
      <c r="J2275"/>
      <c r="K2275"/>
      <c r="L2275"/>
      <c r="M2275"/>
      <c r="N2275" s="78"/>
    </row>
    <row r="2276" spans="4:14" ht="16" x14ac:dyDescent="0.2">
      <c r="D2276"/>
      <c r="E2276"/>
      <c r="F2276"/>
      <c r="G2276"/>
      <c r="H2276"/>
      <c r="I2276"/>
      <c r="J2276"/>
      <c r="K2276"/>
      <c r="L2276"/>
      <c r="M2276"/>
      <c r="N2276" s="78"/>
    </row>
    <row r="2277" spans="4:14" ht="16" x14ac:dyDescent="0.2">
      <c r="D2277"/>
      <c r="E2277"/>
      <c r="F2277"/>
      <c r="G2277"/>
      <c r="H2277"/>
      <c r="I2277"/>
      <c r="J2277"/>
      <c r="K2277"/>
      <c r="L2277"/>
      <c r="M2277"/>
      <c r="N2277" s="78"/>
    </row>
    <row r="2278" spans="4:14" ht="16" x14ac:dyDescent="0.2">
      <c r="D2278"/>
      <c r="E2278"/>
      <c r="F2278"/>
      <c r="G2278"/>
      <c r="H2278"/>
      <c r="I2278"/>
      <c r="J2278"/>
      <c r="K2278"/>
      <c r="L2278"/>
      <c r="M2278"/>
      <c r="N2278" s="78"/>
    </row>
    <row r="2279" spans="4:14" ht="16" x14ac:dyDescent="0.2">
      <c r="D2279"/>
      <c r="E2279"/>
      <c r="F2279"/>
      <c r="G2279"/>
      <c r="H2279"/>
      <c r="I2279"/>
      <c r="J2279"/>
      <c r="K2279"/>
      <c r="L2279"/>
      <c r="M2279"/>
      <c r="N2279" s="78"/>
    </row>
    <row r="2280" spans="4:14" ht="16" x14ac:dyDescent="0.2">
      <c r="D2280"/>
      <c r="E2280"/>
      <c r="F2280"/>
      <c r="G2280"/>
      <c r="H2280"/>
      <c r="I2280"/>
      <c r="J2280"/>
      <c r="K2280"/>
      <c r="L2280"/>
      <c r="M2280"/>
      <c r="N2280" s="78"/>
    </row>
    <row r="2281" spans="4:14" ht="16" x14ac:dyDescent="0.2">
      <c r="D2281"/>
      <c r="E2281"/>
      <c r="F2281"/>
      <c r="G2281"/>
      <c r="H2281"/>
      <c r="I2281"/>
      <c r="J2281"/>
      <c r="K2281"/>
      <c r="L2281"/>
      <c r="M2281"/>
      <c r="N2281" s="78"/>
    </row>
    <row r="2282" spans="4:14" ht="16" x14ac:dyDescent="0.2">
      <c r="D2282"/>
      <c r="E2282"/>
      <c r="F2282"/>
      <c r="G2282"/>
      <c r="H2282"/>
      <c r="I2282"/>
      <c r="J2282"/>
      <c r="K2282"/>
      <c r="L2282"/>
      <c r="M2282"/>
      <c r="N2282" s="78"/>
    </row>
    <row r="2283" spans="4:14" ht="16" x14ac:dyDescent="0.2">
      <c r="D2283"/>
      <c r="E2283"/>
      <c r="F2283"/>
      <c r="G2283"/>
      <c r="H2283"/>
      <c r="I2283"/>
      <c r="J2283"/>
      <c r="K2283"/>
      <c r="L2283"/>
      <c r="M2283"/>
      <c r="N2283" s="78"/>
    </row>
    <row r="2284" spans="4:14" ht="16" x14ac:dyDescent="0.2">
      <c r="D2284"/>
      <c r="E2284"/>
      <c r="F2284"/>
      <c r="G2284"/>
      <c r="H2284"/>
      <c r="I2284"/>
      <c r="J2284"/>
      <c r="K2284"/>
      <c r="L2284"/>
      <c r="M2284"/>
      <c r="N2284" s="78"/>
    </row>
    <row r="2285" spans="4:14" ht="16" x14ac:dyDescent="0.2">
      <c r="D2285"/>
      <c r="E2285"/>
      <c r="F2285"/>
      <c r="G2285"/>
      <c r="H2285"/>
      <c r="I2285"/>
      <c r="J2285"/>
      <c r="K2285"/>
      <c r="L2285"/>
      <c r="M2285"/>
      <c r="N2285" s="78"/>
    </row>
    <row r="2286" spans="4:14" ht="16" x14ac:dyDescent="0.2">
      <c r="D2286"/>
      <c r="E2286"/>
      <c r="F2286"/>
      <c r="G2286"/>
      <c r="H2286"/>
      <c r="I2286"/>
      <c r="J2286"/>
      <c r="K2286"/>
      <c r="L2286"/>
      <c r="M2286"/>
      <c r="N2286" s="78"/>
    </row>
    <row r="2287" spans="4:14" ht="16" x14ac:dyDescent="0.2">
      <c r="D2287"/>
      <c r="E2287"/>
      <c r="F2287"/>
      <c r="G2287"/>
      <c r="H2287"/>
      <c r="I2287"/>
      <c r="J2287"/>
      <c r="K2287"/>
      <c r="L2287"/>
      <c r="M2287"/>
      <c r="N2287" s="78"/>
    </row>
    <row r="2288" spans="4:14" ht="16" x14ac:dyDescent="0.2">
      <c r="D2288"/>
      <c r="E2288"/>
      <c r="F2288"/>
      <c r="G2288"/>
      <c r="H2288"/>
      <c r="I2288"/>
      <c r="J2288"/>
      <c r="K2288"/>
      <c r="L2288"/>
      <c r="M2288"/>
      <c r="N2288" s="78"/>
    </row>
    <row r="2289" spans="4:14" ht="16" x14ac:dyDescent="0.2">
      <c r="D2289"/>
      <c r="E2289"/>
      <c r="F2289"/>
      <c r="G2289"/>
      <c r="H2289"/>
      <c r="I2289"/>
      <c r="J2289"/>
      <c r="K2289"/>
      <c r="L2289"/>
      <c r="M2289"/>
      <c r="N2289" s="78"/>
    </row>
    <row r="2290" spans="4:14" ht="16" x14ac:dyDescent="0.2">
      <c r="D2290"/>
      <c r="E2290"/>
      <c r="F2290"/>
      <c r="G2290"/>
      <c r="H2290"/>
      <c r="I2290"/>
      <c r="J2290"/>
      <c r="K2290"/>
      <c r="L2290"/>
      <c r="M2290"/>
      <c r="N2290" s="78"/>
    </row>
    <row r="2291" spans="4:14" ht="16" x14ac:dyDescent="0.2">
      <c r="D2291"/>
      <c r="E2291"/>
      <c r="F2291"/>
      <c r="G2291"/>
      <c r="H2291"/>
      <c r="I2291"/>
      <c r="J2291"/>
      <c r="K2291"/>
      <c r="L2291"/>
      <c r="M2291"/>
      <c r="N2291" s="78"/>
    </row>
    <row r="2292" spans="4:14" ht="16" x14ac:dyDescent="0.2">
      <c r="D2292"/>
      <c r="E2292"/>
      <c r="F2292"/>
      <c r="G2292"/>
      <c r="H2292"/>
      <c r="I2292"/>
      <c r="J2292"/>
      <c r="K2292"/>
      <c r="L2292"/>
      <c r="M2292"/>
      <c r="N2292" s="78"/>
    </row>
  </sheetData>
  <sheetProtection algorithmName="SHA-512" hashValue="mgG1pu5+QAvy69ApwWRXykEN0IWE2chHbkucsGCnq2za+lNSjRyHRYBc6Y4qn+edn5IRv1yHYFkA36+y72JbfQ==" saltValue="5hgHoV3JSdY5g/KSiMhnOg==" spinCount="100000" sheet="1" formatRows="0" insertColumns="0" selectLockedCells="1"/>
  <mergeCells count="103">
    <mergeCell ref="J1:M1"/>
    <mergeCell ref="B8:N8"/>
    <mergeCell ref="B9:J9"/>
    <mergeCell ref="B12:H12"/>
    <mergeCell ref="B13:J13"/>
    <mergeCell ref="B5:E5"/>
    <mergeCell ref="G5:I5"/>
    <mergeCell ref="B10:H10"/>
    <mergeCell ref="B11:H11"/>
    <mergeCell ref="I10:K10"/>
    <mergeCell ref="B6:M6"/>
    <mergeCell ref="I28:N28"/>
    <mergeCell ref="B23:J23"/>
    <mergeCell ref="K23:M23"/>
    <mergeCell ref="B15:C15"/>
    <mergeCell ref="B19:C19"/>
    <mergeCell ref="E21:H21"/>
    <mergeCell ref="B20:C20"/>
    <mergeCell ref="E20:H20"/>
    <mergeCell ref="I16:J16"/>
    <mergeCell ref="B16:C16"/>
    <mergeCell ref="E19:H19"/>
    <mergeCell ref="E16:H16"/>
    <mergeCell ref="E25:J25"/>
    <mergeCell ref="B25:C25"/>
    <mergeCell ref="B17:C17"/>
    <mergeCell ref="E17:H17"/>
    <mergeCell ref="B18:C18"/>
    <mergeCell ref="E18:H18"/>
    <mergeCell ref="S14:T14"/>
    <mergeCell ref="S11:T13"/>
    <mergeCell ref="I29:N29"/>
    <mergeCell ref="I27:N27"/>
    <mergeCell ref="Q8:R8"/>
    <mergeCell ref="O8:P8"/>
    <mergeCell ref="Q14:R14"/>
    <mergeCell ref="O25:R25"/>
    <mergeCell ref="J5:N5"/>
    <mergeCell ref="O14:P14"/>
    <mergeCell ref="K14:N14"/>
    <mergeCell ref="I15:J15"/>
    <mergeCell ref="I11:K11"/>
    <mergeCell ref="O26:R34"/>
    <mergeCell ref="I17:J17"/>
    <mergeCell ref="I18:J18"/>
    <mergeCell ref="C34:N34"/>
    <mergeCell ref="E26:H26"/>
    <mergeCell ref="B29:C29"/>
    <mergeCell ref="B27:C27"/>
    <mergeCell ref="E27:H27"/>
    <mergeCell ref="B21:C21"/>
    <mergeCell ref="B22:J22"/>
    <mergeCell ref="E29:H29"/>
    <mergeCell ref="B74:J74"/>
    <mergeCell ref="C75:N76"/>
    <mergeCell ref="D77:N77"/>
    <mergeCell ref="B57:N57"/>
    <mergeCell ref="C58:N58"/>
    <mergeCell ref="C59:N59"/>
    <mergeCell ref="C60:N60"/>
    <mergeCell ref="C61:N61"/>
    <mergeCell ref="B63:N63"/>
    <mergeCell ref="C64:N64"/>
    <mergeCell ref="F66:H66"/>
    <mergeCell ref="I68:K68"/>
    <mergeCell ref="C69:D69"/>
    <mergeCell ref="I71:K71"/>
    <mergeCell ref="B73:N73"/>
    <mergeCell ref="C54:N54"/>
    <mergeCell ref="C55:N55"/>
    <mergeCell ref="B51:N51"/>
    <mergeCell ref="B53:N53"/>
    <mergeCell ref="C49:F49"/>
    <mergeCell ref="J49:L49"/>
    <mergeCell ref="C50:N50"/>
    <mergeCell ref="B44:N44"/>
    <mergeCell ref="C46:N46"/>
    <mergeCell ref="J47:L47"/>
    <mergeCell ref="C48:E48"/>
    <mergeCell ref="B42:N42"/>
    <mergeCell ref="C38:J38"/>
    <mergeCell ref="I26:N26"/>
    <mergeCell ref="B37:H37"/>
    <mergeCell ref="J48:L48"/>
    <mergeCell ref="C45:N45"/>
    <mergeCell ref="B7:N7"/>
    <mergeCell ref="O7:R7"/>
    <mergeCell ref="O5:R6"/>
    <mergeCell ref="C40:J40"/>
    <mergeCell ref="E28:H28"/>
    <mergeCell ref="K37:N40"/>
    <mergeCell ref="C39:J39"/>
    <mergeCell ref="B30:C30"/>
    <mergeCell ref="E30:H30"/>
    <mergeCell ref="C35:N35"/>
    <mergeCell ref="B26:C26"/>
    <mergeCell ref="I30:N30"/>
    <mergeCell ref="B14:C14"/>
    <mergeCell ref="E15:H15"/>
    <mergeCell ref="E14:J14"/>
    <mergeCell ref="E31:N31"/>
    <mergeCell ref="B33:N33"/>
    <mergeCell ref="B28:C28"/>
  </mergeCells>
  <phoneticPr fontId="6" type="noConversion"/>
  <conditionalFormatting sqref="T15:T16 T19:T21">
    <cfRule type="cellIs" dxfId="161" priority="44" operator="equal">
      <formula>0</formula>
    </cfRule>
  </conditionalFormatting>
  <conditionalFormatting sqref="Q16">
    <cfRule type="expression" dxfId="160" priority="35">
      <formula>M16=0</formula>
    </cfRule>
  </conditionalFormatting>
  <conditionalFormatting sqref="R16">
    <cfRule type="expression" dxfId="159" priority="34">
      <formula>M16=0</formula>
    </cfRule>
  </conditionalFormatting>
  <conditionalFormatting sqref="M15">
    <cfRule type="cellIs" dxfId="158" priority="33" operator="equal">
      <formula>0</formula>
    </cfRule>
  </conditionalFormatting>
  <conditionalFormatting sqref="N15">
    <cfRule type="expression" dxfId="157" priority="32">
      <formula>M15=0</formula>
    </cfRule>
  </conditionalFormatting>
  <conditionalFormatting sqref="Q15">
    <cfRule type="expression" dxfId="156" priority="31">
      <formula>M15=0</formula>
    </cfRule>
  </conditionalFormatting>
  <conditionalFormatting sqref="R15">
    <cfRule type="expression" dxfId="155" priority="30">
      <formula>M15=0</formula>
    </cfRule>
  </conditionalFormatting>
  <conditionalFormatting sqref="M19">
    <cfRule type="cellIs" dxfId="154" priority="29" operator="equal">
      <formula>0</formula>
    </cfRule>
  </conditionalFormatting>
  <conditionalFormatting sqref="N19">
    <cfRule type="expression" dxfId="153" priority="28">
      <formula>M19=0</formula>
    </cfRule>
  </conditionalFormatting>
  <conditionalFormatting sqref="Q19">
    <cfRule type="expression" dxfId="152" priority="27">
      <formula>M19=0</formula>
    </cfRule>
  </conditionalFormatting>
  <conditionalFormatting sqref="R19">
    <cfRule type="expression" dxfId="151" priority="26">
      <formula>M19=0</formula>
    </cfRule>
  </conditionalFormatting>
  <conditionalFormatting sqref="M21">
    <cfRule type="cellIs" dxfId="150" priority="25" operator="equal">
      <formula>0</formula>
    </cfRule>
  </conditionalFormatting>
  <conditionalFormatting sqref="N21">
    <cfRule type="expression" dxfId="149" priority="24">
      <formula>M21=0</formula>
    </cfRule>
  </conditionalFormatting>
  <conditionalFormatting sqref="Q21">
    <cfRule type="expression" dxfId="148" priority="23">
      <formula>M21=0</formula>
    </cfRule>
  </conditionalFormatting>
  <conditionalFormatting sqref="R21">
    <cfRule type="expression" dxfId="147" priority="22">
      <formula>M21=0</formula>
    </cfRule>
  </conditionalFormatting>
  <conditionalFormatting sqref="K16:L16">
    <cfRule type="cellIs" dxfId="146" priority="21" operator="lessThan">
      <formula>0</formula>
    </cfRule>
  </conditionalFormatting>
  <conditionalFormatting sqref="M16">
    <cfRule type="cellIs" dxfId="145" priority="20" operator="lessThan">
      <formula>0</formula>
    </cfRule>
  </conditionalFormatting>
  <conditionalFormatting sqref="N16">
    <cfRule type="expression" dxfId="144" priority="19">
      <formula>M16&lt;0</formula>
    </cfRule>
  </conditionalFormatting>
  <conditionalFormatting sqref="M20">
    <cfRule type="cellIs" dxfId="143" priority="17" operator="equal">
      <formula>0</formula>
    </cfRule>
  </conditionalFormatting>
  <conditionalFormatting sqref="N20">
    <cfRule type="expression" dxfId="142" priority="16">
      <formula>M20=0</formula>
    </cfRule>
  </conditionalFormatting>
  <conditionalFormatting sqref="Q20">
    <cfRule type="expression" dxfId="141" priority="15">
      <formula>M20=0</formula>
    </cfRule>
  </conditionalFormatting>
  <conditionalFormatting sqref="R20">
    <cfRule type="expression" dxfId="140" priority="14">
      <formula>M20=0</formula>
    </cfRule>
  </conditionalFormatting>
  <conditionalFormatting sqref="T17">
    <cfRule type="cellIs" dxfId="139" priority="10" operator="equal">
      <formula>0</formula>
    </cfRule>
  </conditionalFormatting>
  <conditionalFormatting sqref="M17:M18">
    <cfRule type="cellIs" dxfId="138" priority="9" operator="equal">
      <formula>0</formula>
    </cfRule>
  </conditionalFormatting>
  <conditionalFormatting sqref="N17">
    <cfRule type="expression" dxfId="137" priority="8">
      <formula>M17=0</formula>
    </cfRule>
  </conditionalFormatting>
  <conditionalFormatting sqref="Q17">
    <cfRule type="expression" dxfId="136" priority="7">
      <formula>M17=0</formula>
    </cfRule>
  </conditionalFormatting>
  <conditionalFormatting sqref="R17">
    <cfRule type="expression" dxfId="135" priority="6">
      <formula>M17=0</formula>
    </cfRule>
  </conditionalFormatting>
  <conditionalFormatting sqref="T18">
    <cfRule type="cellIs" dxfId="134" priority="5" operator="equal">
      <formula>0</formula>
    </cfRule>
  </conditionalFormatting>
  <conditionalFormatting sqref="N18">
    <cfRule type="expression" dxfId="133" priority="3">
      <formula>M18=0</formula>
    </cfRule>
  </conditionalFormatting>
  <conditionalFormatting sqref="Q18">
    <cfRule type="expression" dxfId="132" priority="2">
      <formula>M18=0</formula>
    </cfRule>
  </conditionalFormatting>
  <conditionalFormatting sqref="R18">
    <cfRule type="expression" dxfId="131" priority="1">
      <formula>M18=0</formula>
    </cfRule>
  </conditionalFormatting>
  <dataValidations count="3">
    <dataValidation type="list" allowBlank="1" showDropDown="1" showInputMessage="1" showErrorMessage="1" sqref="B32 E25:F31" xr:uid="{071C908B-9CEC-4240-AA40-7F8A81760BBD}">
      <formula1>Namen</formula1>
    </dataValidation>
    <dataValidation type="list" allowBlank="1" showInputMessage="1" showErrorMessage="1" sqref="B26:B30" xr:uid="{1350A8DD-B188-FD4B-8077-91B567A5ACBE}">
      <formula1>Nummern</formula1>
    </dataValidation>
    <dataValidation allowBlank="1" showInputMessage="1" sqref="I26:I30" xr:uid="{4DA06159-B07E-EB4E-B1E1-1F9B6A3564E7}"/>
  </dataValidations>
  <hyperlinks>
    <hyperlink ref="D31" r:id="rId1" xr:uid="{CC8C7652-5C68-3F4D-ACB7-F6FA880C259B}"/>
    <hyperlink ref="B42:N42" location="'Brine-Calculator'!K8" display="Click here to get to our Brine Calculator, where you can enter the desired brine quantity you want to produce." xr:uid="{59AB3163-7E40-C04C-8F58-79D3C83105B7}"/>
    <hyperlink ref="J42" location="'Brine-Calculator'!K8" display="Click here to get to our Brine Calculator, where you can enter the desired brine quantity you want to produce." xr:uid="{1C1F0A69-826F-1544-9BBF-97F500B85B6C}"/>
    <hyperlink ref="C77" r:id="rId2" xr:uid="{BF276B0C-7E7F-CF42-AA92-0DB6585567D5}"/>
    <hyperlink ref="B7" r:id="rId3" xr:uid="{44783FEA-F6BA-344A-BF13-4F9CFCFC3518}"/>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1"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K19</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Functions!$X$3:$X$5</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K21</xm:sqref>
        </x14:dataValidation>
        <x14:dataValidation type="list" allowBlank="1" showInputMessage="1" xr:uid="{276548CB-F780-5147-AE13-0FB3DF667270}">
          <x14:formula1>
            <xm:f>Functions!$V$3:$V$21</xm:f>
          </x14:formula1>
          <xm:sqref>I21</xm:sqref>
        </x14:dataValidation>
        <x14:dataValidation type="list" allowBlank="1" showInputMessage="1" showErrorMessage="1" xr:uid="{A77B86D0-441D-B34D-9828-8B8F7AC0D881}">
          <x14:formula1>
            <xm:f>Functions!$Z$17:$Z$20</xm:f>
          </x14:formula1>
          <xm:sqref>K20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30"/>
  <sheetViews>
    <sheetView showGridLines="0" zoomScaleNormal="100" workbookViewId="0">
      <selection activeCell="B25" sqref="B25:M25"/>
    </sheetView>
  </sheetViews>
  <sheetFormatPr baseColWidth="10" defaultColWidth="10.83203125" defaultRowHeight="19" x14ac:dyDescent="0.25"/>
  <cols>
    <col min="2" max="2" width="4.1640625" style="84"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3"/>
      <c r="K1" s="403"/>
      <c r="L1" s="403"/>
      <c r="M1" s="70"/>
      <c r="P1" t="s">
        <v>183</v>
      </c>
    </row>
    <row r="2" spans="2:20" ht="24" x14ac:dyDescent="0.2">
      <c r="J2" s="165"/>
      <c r="K2" s="165"/>
      <c r="L2" s="165"/>
      <c r="M2" s="70"/>
    </row>
    <row r="3" spans="2:20" ht="24" x14ac:dyDescent="0.2">
      <c r="J3" s="165"/>
      <c r="K3" s="165"/>
      <c r="L3" s="165"/>
      <c r="M3" s="70"/>
    </row>
    <row r="4" spans="2:20" ht="24" customHeight="1" x14ac:dyDescent="0.2">
      <c r="J4" s="165"/>
      <c r="K4" s="165"/>
      <c r="L4" s="165"/>
      <c r="M4" s="70"/>
    </row>
    <row r="5" spans="2:20" ht="37" x14ac:dyDescent="0.45">
      <c r="B5" s="416" t="s">
        <v>3154</v>
      </c>
      <c r="C5" s="416"/>
      <c r="D5" s="416"/>
      <c r="E5" s="416"/>
      <c r="F5" s="416"/>
      <c r="G5" s="416"/>
      <c r="H5" s="416"/>
      <c r="I5" s="416"/>
      <c r="J5" s="416"/>
      <c r="K5" s="416"/>
      <c r="L5" s="416"/>
      <c r="M5" s="416"/>
      <c r="N5" s="336"/>
      <c r="O5" s="336"/>
      <c r="P5" s="336"/>
      <c r="Q5" s="336"/>
      <c r="R5" s="7"/>
    </row>
    <row r="6" spans="2:20" s="7" customFormat="1" ht="25" customHeight="1" thickBot="1" x14ac:dyDescent="0.35">
      <c r="B6" s="419" t="s">
        <v>3127</v>
      </c>
      <c r="C6" s="419"/>
      <c r="D6" s="419"/>
      <c r="E6" s="419"/>
      <c r="F6" s="419"/>
      <c r="G6" s="419"/>
      <c r="H6" s="419"/>
      <c r="I6" s="419"/>
      <c r="J6" s="419"/>
      <c r="K6" s="404"/>
      <c r="L6" s="404"/>
      <c r="M6" s="419"/>
      <c r="N6" s="336" t="s">
        <v>3120</v>
      </c>
      <c r="O6" s="336"/>
      <c r="P6" s="336"/>
      <c r="Q6" s="336"/>
    </row>
    <row r="7" spans="2:20" s="71" customFormat="1" ht="25" customHeight="1" x14ac:dyDescent="0.25">
      <c r="B7" s="420" t="s">
        <v>3153</v>
      </c>
      <c r="C7" s="420"/>
      <c r="D7" s="420"/>
      <c r="E7" s="420"/>
      <c r="F7" s="420"/>
      <c r="G7" s="420"/>
      <c r="H7" s="420"/>
      <c r="I7" s="420"/>
      <c r="J7" s="420"/>
      <c r="K7" s="418">
        <v>100</v>
      </c>
      <c r="L7" s="418"/>
      <c r="M7" s="171" t="s">
        <v>0</v>
      </c>
      <c r="N7" s="415" t="s">
        <v>3136</v>
      </c>
      <c r="O7" s="415"/>
      <c r="P7" s="415"/>
      <c r="Q7" s="415"/>
      <c r="R7" s="228"/>
      <c r="S7" s="228"/>
      <c r="T7" s="7"/>
    </row>
    <row r="8" spans="2:20" s="7" customFormat="1" ht="21" customHeight="1" x14ac:dyDescent="0.25">
      <c r="B8" s="417" t="str">
        <f>"Water / Flaked Ice"</f>
        <v>Water / Flaked Ice</v>
      </c>
      <c r="C8" s="417"/>
      <c r="D8" s="417"/>
      <c r="E8" s="417"/>
      <c r="F8" s="417"/>
      <c r="G8" s="417"/>
      <c r="H8" s="417"/>
      <c r="I8" s="417"/>
      <c r="J8" s="417"/>
      <c r="K8" s="210">
        <f>Water2/(Meat2*YieldIncrease)</f>
        <v>0.61850000000000005</v>
      </c>
      <c r="L8" s="211">
        <f>K8*BrineAmount</f>
        <v>61.850000000000009</v>
      </c>
      <c r="M8" s="212" t="str">
        <f>IF(L8&lt;&gt;"","kg","")</f>
        <v>kg</v>
      </c>
      <c r="N8" s="213">
        <v>0.01</v>
      </c>
      <c r="O8" s="214" t="str">
        <f t="shared" ref="O8" si="0">IF(N8&lt;&gt;"","EUR","")</f>
        <v>EUR</v>
      </c>
      <c r="P8" s="215">
        <f t="shared" ref="P8" si="1">IF(N8&lt;&gt;"",ROUND(N8*L8,2),"")</f>
        <v>0.62</v>
      </c>
      <c r="Q8" s="216" t="str">
        <f t="shared" ref="Q8" si="2">IF(P8&lt;&gt;"","EUR","")</f>
        <v>EUR</v>
      </c>
      <c r="R8" s="231"/>
      <c r="S8" s="228"/>
    </row>
    <row r="9" spans="2:20" s="13" customFormat="1" ht="25" customHeight="1" x14ac:dyDescent="0.25">
      <c r="B9" s="347" t="s">
        <v>34</v>
      </c>
      <c r="C9" s="347"/>
      <c r="D9" s="96" t="s">
        <v>44</v>
      </c>
      <c r="E9" s="421" t="s">
        <v>3155</v>
      </c>
      <c r="F9" s="349"/>
      <c r="G9" s="349"/>
      <c r="H9" s="349"/>
      <c r="I9" s="349"/>
      <c r="J9" s="349"/>
      <c r="K9" s="207" t="s">
        <v>88</v>
      </c>
      <c r="L9" s="207"/>
      <c r="M9" s="207"/>
      <c r="N9" s="386" t="s">
        <v>3146</v>
      </c>
      <c r="O9" s="386"/>
      <c r="P9" s="386" t="s">
        <v>3040</v>
      </c>
      <c r="Q9" s="386"/>
      <c r="R9" s="229"/>
      <c r="S9" s="228"/>
    </row>
    <row r="10" spans="2:20" ht="21" customHeight="1" x14ac:dyDescent="0.2">
      <c r="B10" s="396">
        <f>IF(ISNUMBER(Artikelnummer1),Artikelnummer1,"")</f>
        <v>11023</v>
      </c>
      <c r="C10" s="396"/>
      <c r="D10" s="97" t="str">
        <f>IF(ISNA(VLOOKUP(B10,AllData,2,0)),"",HYPERLINK(VLOOKUP(B10,AllData,7,0),"📌"))</f>
        <v>📌</v>
      </c>
      <c r="E10" s="339" t="str">
        <f>IF(ISNUMBER(B10),IF(ISNA(VLOOKUP(B10,AllData,2)),"",VLOOKUP(B10,AllData,2)),"")</f>
        <v>AGAGEL® 380</v>
      </c>
      <c r="F10" s="339"/>
      <c r="G10" s="339"/>
      <c r="H10" s="339"/>
      <c r="I10" s="219"/>
      <c r="J10" s="224"/>
      <c r="K10" s="98">
        <f>IF(L10&lt;&gt;"",L10/BrineAmount,"")</f>
        <v>0.19800000000000001</v>
      </c>
      <c r="L10" s="176">
        <f t="shared" ref="L10:L16" si="3">IF(R10&lt;&gt;"",R10*BrineAmount,"")</f>
        <v>19.8</v>
      </c>
      <c r="M10" s="225" t="str">
        <f t="shared" ref="M10:M16" si="4">IF(L10&lt;&gt;"","kg","")</f>
        <v>kg</v>
      </c>
      <c r="N10" s="193">
        <f>IF(L10&lt;&gt;"",IF(ISNA(VLOOKUP(B10,AllData,2,0)),"",VLOOKUP(B10,AllData,4,0)),"")</f>
        <v>9.4499999999999993</v>
      </c>
      <c r="O10" s="9" t="str">
        <f t="shared" ref="O10:O16" si="5">IF(N10&lt;&gt;"","EUR","")</f>
        <v>EUR</v>
      </c>
      <c r="P10" s="10">
        <f t="shared" ref="P10:P16" si="6">IF(N10&lt;&gt;"",ROUND(N10*L10,2),"")</f>
        <v>187.11</v>
      </c>
      <c r="Q10" s="11" t="str">
        <f t="shared" ref="Q10:Q16" si="7">IF(P10&lt;&gt;"","EUR","")</f>
        <v>EUR</v>
      </c>
      <c r="R10" s="226">
        <f>IF(E10&lt;&gt;"",Menge1/(Meat2*YieldIncrease),"")</f>
        <v>0.19800000000000001</v>
      </c>
      <c r="S10" s="230"/>
      <c r="T10" s="208"/>
    </row>
    <row r="11" spans="2:20" ht="21" customHeight="1" x14ac:dyDescent="0.2">
      <c r="B11" s="396">
        <f>IF(ISNUMBER(Artikelnummer2),Artikelnummer2,"")</f>
        <v>11049</v>
      </c>
      <c r="C11" s="396"/>
      <c r="D11" s="97" t="str">
        <f t="shared" ref="D11:D14" si="8">IF(ISNA(VLOOKUP(B11,AllData,2,0)),"",HYPERLINK(VLOOKUP(B11,AllData,7,0),"📌"))</f>
        <v>📌</v>
      </c>
      <c r="E11" s="339" t="str">
        <f>IF(ISNUMBER(B11),IF(ISNA(VLOOKUP(B11,AllData,2)),"",VLOOKUP(B11,AllData,2)),"")</f>
        <v>Curing Salt [Nitrite pickling salt]</v>
      </c>
      <c r="F11" s="339"/>
      <c r="G11" s="339"/>
      <c r="H11" s="339"/>
      <c r="I11" s="219"/>
      <c r="J11" s="224"/>
      <c r="K11" s="98">
        <f>IF(L11&lt;&gt;"",L11/BrineAmount,"")</f>
        <v>6.9499999999999992E-2</v>
      </c>
      <c r="L11" s="176">
        <f t="shared" si="3"/>
        <v>6.9499999999999993</v>
      </c>
      <c r="M11" s="225" t="str">
        <f t="shared" si="4"/>
        <v>kg</v>
      </c>
      <c r="N11" s="193">
        <f>IF(L11&lt;&gt;"",IF(ISNA(VLOOKUP(B11,AllData,2,0)),"",VLOOKUP(B11,AllData,4,0)),"")</f>
        <v>0.7</v>
      </c>
      <c r="O11" s="9" t="str">
        <f t="shared" si="5"/>
        <v>EUR</v>
      </c>
      <c r="P11" s="10">
        <f t="shared" si="6"/>
        <v>4.87</v>
      </c>
      <c r="Q11" s="11" t="str">
        <f t="shared" si="7"/>
        <v>EUR</v>
      </c>
      <c r="R11" s="226">
        <f>IF(E11&lt;&gt;"",Menge2/(Meat2*YieldIncrease),"")</f>
        <v>6.9499999999999992E-2</v>
      </c>
      <c r="S11" s="230"/>
      <c r="T11" s="208"/>
    </row>
    <row r="12" spans="2:20" ht="21" customHeight="1" x14ac:dyDescent="0.2">
      <c r="B12" s="396">
        <f>IF(ISNUMBER(Artikelnummer8),Artikelnummer8,"")</f>
        <v>10066</v>
      </c>
      <c r="C12" s="396"/>
      <c r="D12" s="97" t="str">
        <f t="shared" ref="D12:D13" si="9">IF(ISNA(VLOOKUP(B12,AllData,2,0)),"",HYPERLINK(VLOOKUP(B12,AllData,7,0),"📌"))</f>
        <v>📌</v>
      </c>
      <c r="E12" s="339" t="str">
        <f>IF(ISNUMBER(B12),IF(ISNA(VLOOKUP(B12,AllData,2)),"",VLOOKUP(B12,AllData,2)),"")</f>
        <v>Dextrose Monohydrate</v>
      </c>
      <c r="F12" s="339"/>
      <c r="G12" s="339"/>
      <c r="H12" s="339"/>
      <c r="I12" s="219"/>
      <c r="J12" s="224"/>
      <c r="K12" s="98">
        <f>IF(L12&lt;&gt;"",L12/BrineAmount,"")</f>
        <v>9.6000000000000002E-2</v>
      </c>
      <c r="L12" s="176">
        <f t="shared" si="3"/>
        <v>9.6</v>
      </c>
      <c r="M12" s="225" t="str">
        <f t="shared" ref="M12:M13" si="10">IF(L12&lt;&gt;"","kg","")</f>
        <v>kg</v>
      </c>
      <c r="N12" s="193">
        <f>IF(L12&lt;&gt;"",IF(ISNA(VLOOKUP(B12,AllData,2,0)),"",VLOOKUP(B12,AllData,4,0)),"")</f>
        <v>1.9</v>
      </c>
      <c r="O12" s="9" t="str">
        <f t="shared" ref="O12:O13" si="11">IF(N12&lt;&gt;"","EUR","")</f>
        <v>EUR</v>
      </c>
      <c r="P12" s="10">
        <f t="shared" ref="P12:P13" si="12">IF(N12&lt;&gt;"",ROUND(N12*L12,2),"")</f>
        <v>18.239999999999998</v>
      </c>
      <c r="Q12" s="11" t="str">
        <f t="shared" ref="Q12:Q13" si="13">IF(P12&lt;&gt;"","EUR","")</f>
        <v>EUR</v>
      </c>
      <c r="R12" s="226">
        <f>IF(E12&lt;&gt;"",Menge8/(Meat2*YieldIncrease),"")</f>
        <v>9.6000000000000002E-2</v>
      </c>
      <c r="S12" s="230"/>
      <c r="T12" s="208"/>
    </row>
    <row r="13" spans="2:20" ht="21" customHeight="1" x14ac:dyDescent="0.2">
      <c r="B13" s="396">
        <f>IF(ISNUMBER(Artikelnummer9),Artikelnummer9,"")</f>
        <v>50003</v>
      </c>
      <c r="C13" s="396"/>
      <c r="D13" s="97" t="str">
        <f t="shared" si="9"/>
        <v>📌</v>
      </c>
      <c r="E13" s="339" t="str">
        <f>IF(ISNUMBER(B13),IF(ISNA(VLOOKUP(B13,AllData,2)),"",VLOOKUP(B13,AllData,2)),"")</f>
        <v>Meister Fixrot</v>
      </c>
      <c r="F13" s="339"/>
      <c r="G13" s="339"/>
      <c r="H13" s="339"/>
      <c r="I13" s="219"/>
      <c r="J13" s="224"/>
      <c r="K13" s="98">
        <f>IF(L13&lt;&gt;"",L13/BrineAmount,"")</f>
        <v>1.7999999999999999E-2</v>
      </c>
      <c r="L13" s="176">
        <f t="shared" si="3"/>
        <v>1.7999999999999998</v>
      </c>
      <c r="M13" s="225" t="str">
        <f t="shared" si="10"/>
        <v>kg</v>
      </c>
      <c r="N13" s="193">
        <f>IF(L13&lt;&gt;"",IF(ISNA(VLOOKUP(B13,AllData,2,0)),"",VLOOKUP(B13,AllData,4,0)),"")</f>
        <v>8.9</v>
      </c>
      <c r="O13" s="9" t="str">
        <f t="shared" si="11"/>
        <v>EUR</v>
      </c>
      <c r="P13" s="10">
        <f t="shared" si="12"/>
        <v>16.02</v>
      </c>
      <c r="Q13" s="11" t="str">
        <f t="shared" si="13"/>
        <v>EUR</v>
      </c>
      <c r="R13" s="226">
        <f>IF(E13&lt;&gt;"",Menge9/(Meat2*YieldIncrease),"")</f>
        <v>1.7999999999999999E-2</v>
      </c>
      <c r="S13" s="230"/>
      <c r="T13" s="208"/>
    </row>
    <row r="14" spans="2:20" ht="21" x14ac:dyDescent="0.2">
      <c r="B14" s="396">
        <f>IF(ISNUMBER(Artikelnummer3),Artikelnummer3,"")</f>
        <v>51024</v>
      </c>
      <c r="C14" s="396"/>
      <c r="D14" s="97" t="str">
        <f t="shared" si="8"/>
        <v>📌</v>
      </c>
      <c r="E14" s="339" t="str">
        <f>IF(ISNUMBER(B14),IF(ISNA(VLOOKUP(B14,AllData,2)),"",VLOOKUP(B14,AllData,2)),"")</f>
        <v>FlavoMaxx Condiment</v>
      </c>
      <c r="F14" s="339"/>
      <c r="G14" s="339"/>
      <c r="H14" s="339"/>
      <c r="I14" s="219"/>
      <c r="J14" s="227"/>
      <c r="K14" s="98">
        <f>IF(L14&lt;&gt;"",L14/BrineAmount,"")</f>
        <v>0</v>
      </c>
      <c r="L14" s="176">
        <f t="shared" si="3"/>
        <v>0</v>
      </c>
      <c r="M14" s="225" t="str">
        <f t="shared" si="4"/>
        <v>kg</v>
      </c>
      <c r="N14" s="193">
        <f>IF(L14&lt;&gt;"",IF(ISNA(VLOOKUP(B14,AllData,2,0)),"",VLOOKUP(B14,AllData,4,0)),"")</f>
        <v>6.4</v>
      </c>
      <c r="O14" s="9" t="str">
        <f t="shared" si="5"/>
        <v>EUR</v>
      </c>
      <c r="P14" s="10">
        <f t="shared" si="6"/>
        <v>0</v>
      </c>
      <c r="Q14" s="11" t="str">
        <f t="shared" si="7"/>
        <v>EUR</v>
      </c>
      <c r="R14" s="226">
        <f>IF(E14&lt;&gt;"",Menge3/(Meat2*YieldIncrease),"")</f>
        <v>0</v>
      </c>
      <c r="S14" s="230"/>
      <c r="T14" s="208"/>
    </row>
    <row r="15" spans="2:20" ht="21" x14ac:dyDescent="0.2">
      <c r="B15" s="396">
        <f>IF(ISNUMBER(Artikelnummer4),Artikelnummer4,"")</f>
        <v>11055</v>
      </c>
      <c r="C15" s="396"/>
      <c r="D15" s="97" t="str">
        <f t="shared" ref="D15" si="14">IF(ISNA(VLOOKUP(B15,AllData,2,0)),"",HYPERLINK(VLOOKUP(B15,AllData,7,0),"📌"))</f>
        <v>📌</v>
      </c>
      <c r="E15" s="339" t="str">
        <f t="shared" ref="E15" si="15">IF(ISNUMBER(B15),IF(ISNA(VLOOKUP(B15,AllData,2)),"",VLOOKUP(B15,AllData,2)),"")</f>
        <v>FibreMaxx WF 200</v>
      </c>
      <c r="F15" s="339"/>
      <c r="G15" s="339"/>
      <c r="H15" s="339"/>
      <c r="I15" s="219"/>
      <c r="J15" s="232"/>
      <c r="K15" s="98">
        <f t="shared" ref="K15" si="16">IF(L15&lt;&gt;"",L15/BrineAmount,"")</f>
        <v>0</v>
      </c>
      <c r="L15" s="176">
        <f t="shared" si="3"/>
        <v>0</v>
      </c>
      <c r="M15" s="225" t="str">
        <f t="shared" si="4"/>
        <v>kg</v>
      </c>
      <c r="N15" s="193">
        <f t="shared" ref="N15" si="17">IF(L15&lt;&gt;"",IF(ISNA(VLOOKUP(B15,AllData,2,0)),"",VLOOKUP(B15,AllData,4,0)),"")</f>
        <v>2.8</v>
      </c>
      <c r="O15" s="9" t="str">
        <f t="shared" si="5"/>
        <v>EUR</v>
      </c>
      <c r="P15" s="10">
        <f t="shared" si="6"/>
        <v>0</v>
      </c>
      <c r="Q15" s="11" t="str">
        <f t="shared" si="7"/>
        <v>EUR</v>
      </c>
      <c r="R15" s="226" cm="1">
        <f t="array" ref="R15">IF(E15&lt;&gt;"",Menge4/(Meat2*YieldIncrease),"")</f>
        <v>0</v>
      </c>
      <c r="S15" s="233"/>
      <c r="T15" s="208"/>
    </row>
    <row r="16" spans="2:20" ht="21" x14ac:dyDescent="0.2">
      <c r="B16" s="396">
        <f>IF(ISNUMBER(Artikelnummer6),Artikelnummer6,"")</f>
        <v>11146</v>
      </c>
      <c r="C16" s="396"/>
      <c r="D16" s="97" t="str">
        <f t="shared" ref="D16" si="18">IF(ISNA(VLOOKUP(B16,AllData,2,0)),"",HYPERLINK(VLOOKUP(B16,AllData,7,0),"📌"))</f>
        <v>📌</v>
      </c>
      <c r="E16" s="398" t="str">
        <f>IF(ISNUMBER(B16),IF(ISNA(VLOOKUP(B16,AllData,2)),"",VLOOKUP(B16,AllData,2)),"")</f>
        <v>RoMaxx MB liquid</v>
      </c>
      <c r="F16" s="398"/>
      <c r="G16" s="398"/>
      <c r="H16" s="398"/>
      <c r="I16" s="219"/>
      <c r="J16" s="224"/>
      <c r="K16" s="98">
        <f>IF(L16&lt;&gt;"",L16/BrineAmount,"")</f>
        <v>0</v>
      </c>
      <c r="L16" s="176">
        <f t="shared" si="3"/>
        <v>0</v>
      </c>
      <c r="M16" s="225" t="str">
        <f t="shared" si="4"/>
        <v>kg</v>
      </c>
      <c r="N16" s="193">
        <f>IF(L16&lt;&gt;"",IF(ISNA(VLOOKUP(B16,AllData,2,0)),"",VLOOKUP(B16,AllData,4,0)),"")</f>
        <v>9.9</v>
      </c>
      <c r="O16" s="9" t="str">
        <f t="shared" si="5"/>
        <v>EUR</v>
      </c>
      <c r="P16" s="10">
        <f t="shared" si="6"/>
        <v>0</v>
      </c>
      <c r="Q16" s="11" t="str">
        <f t="shared" si="7"/>
        <v>EUR</v>
      </c>
      <c r="R16" s="226">
        <f>IF(E16&lt;&gt;"",Menge6/(Meat2*YieldIncrease),"")</f>
        <v>0</v>
      </c>
      <c r="S16" s="230"/>
      <c r="T16" s="208"/>
    </row>
    <row r="17" spans="2:20" ht="22" thickBot="1" x14ac:dyDescent="0.25">
      <c r="B17" s="393" t="s">
        <v>35</v>
      </c>
      <c r="C17" s="393"/>
      <c r="D17" s="393"/>
      <c r="E17" s="393"/>
      <c r="F17" s="393"/>
      <c r="G17" s="393"/>
      <c r="H17" s="393"/>
      <c r="I17" s="393"/>
      <c r="J17" s="393"/>
      <c r="K17" s="99">
        <f>L17/MeatAndWater2</f>
        <v>0.33950342618136509</v>
      </c>
      <c r="L17" s="100">
        <f>SUM(L10:L16)</f>
        <v>38.15</v>
      </c>
      <c r="M17" s="101" t="s">
        <v>0</v>
      </c>
      <c r="N17" s="209" t="str">
        <f>"ø "&amp;ROUND(P17/L17,2)</f>
        <v>ø 5,93</v>
      </c>
      <c r="O17" s="102" t="s">
        <v>3128</v>
      </c>
      <c r="P17" s="103">
        <f>SUM(P10:P16)</f>
        <v>226.24000000000004</v>
      </c>
      <c r="Q17" s="104" t="s">
        <v>3128</v>
      </c>
      <c r="R17" s="229"/>
      <c r="S17" s="230"/>
      <c r="T17" s="208"/>
    </row>
    <row r="18" spans="2:20" ht="35" customHeight="1" thickBot="1" x14ac:dyDescent="0.25">
      <c r="B18" s="394" t="s">
        <v>3158</v>
      </c>
      <c r="C18" s="394"/>
      <c r="D18" s="394"/>
      <c r="E18" s="394"/>
      <c r="F18" s="394"/>
      <c r="G18" s="394"/>
      <c r="H18" s="394"/>
      <c r="I18" s="394"/>
      <c r="J18" s="394"/>
      <c r="K18" s="395">
        <f>SUM(L8,L17)</f>
        <v>100</v>
      </c>
      <c r="L18" s="395"/>
      <c r="M18" s="105" t="s">
        <v>0</v>
      </c>
      <c r="N18" s="192">
        <f>P18/K18</f>
        <v>2.2624000000000004</v>
      </c>
      <c r="O18" s="181" t="str">
        <f>"€ / kg"</f>
        <v>€ / kg</v>
      </c>
      <c r="P18" s="182">
        <f>SUM(P2,P17)</f>
        <v>226.24000000000004</v>
      </c>
      <c r="Q18" s="183" t="s">
        <v>3128</v>
      </c>
      <c r="R18" s="229"/>
      <c r="S18" s="230"/>
      <c r="T18" s="208"/>
    </row>
    <row r="19" spans="2:20" ht="10" customHeight="1" thickBot="1" x14ac:dyDescent="0.25">
      <c r="B19"/>
      <c r="D19"/>
      <c r="E19"/>
      <c r="F19"/>
      <c r="G19"/>
      <c r="H19"/>
      <c r="I19"/>
      <c r="J19"/>
      <c r="K19"/>
      <c r="L19"/>
      <c r="M19" s="78"/>
      <c r="S19" s="208"/>
      <c r="T19" s="208"/>
    </row>
    <row r="20" spans="2:20" ht="25" customHeight="1" thickTop="1" x14ac:dyDescent="0.2">
      <c r="B20" s="328" t="s">
        <v>3162</v>
      </c>
      <c r="C20" s="329"/>
      <c r="D20" s="329"/>
      <c r="E20" s="329"/>
      <c r="F20" s="329"/>
      <c r="G20" s="329"/>
      <c r="H20" s="329"/>
      <c r="I20" s="205"/>
      <c r="J20" s="178"/>
      <c r="K20" s="340" t="s">
        <v>3149</v>
      </c>
      <c r="L20" s="340"/>
      <c r="M20" s="341"/>
      <c r="N20" s="387" t="s">
        <v>3145</v>
      </c>
      <c r="O20" s="387"/>
      <c r="P20" s="387"/>
      <c r="Q20" s="387"/>
    </row>
    <row r="21" spans="2:20" ht="20" customHeight="1" x14ac:dyDescent="0.2">
      <c r="B21" s="177" t="s">
        <v>3015</v>
      </c>
      <c r="C21" s="326" t="s">
        <v>3047</v>
      </c>
      <c r="D21" s="326"/>
      <c r="E21" s="326"/>
      <c r="F21" s="326"/>
      <c r="G21" s="326"/>
      <c r="H21" s="326"/>
      <c r="I21" s="326"/>
      <c r="J21" s="326"/>
      <c r="K21" s="342"/>
      <c r="L21" s="342"/>
      <c r="M21" s="343"/>
      <c r="N21" s="391" t="s">
        <v>3129</v>
      </c>
      <c r="O21" s="391"/>
      <c r="P21" s="391"/>
      <c r="Q21" s="391"/>
    </row>
    <row r="22" spans="2:20" ht="19" customHeight="1" x14ac:dyDescent="0.2">
      <c r="B22" s="177" t="s">
        <v>3015</v>
      </c>
      <c r="C22" s="326" t="s">
        <v>3014</v>
      </c>
      <c r="D22" s="326"/>
      <c r="E22" s="326"/>
      <c r="F22" s="326"/>
      <c r="G22" s="326"/>
      <c r="H22" s="326"/>
      <c r="I22" s="326"/>
      <c r="J22" s="326"/>
      <c r="K22" s="342"/>
      <c r="L22" s="342"/>
      <c r="M22" s="343"/>
      <c r="N22" s="391"/>
      <c r="O22" s="391"/>
      <c r="P22" s="391"/>
      <c r="Q22" s="391"/>
    </row>
    <row r="23" spans="2:20" ht="20" customHeight="1" x14ac:dyDescent="0.2">
      <c r="B23" s="177" t="s">
        <v>3015</v>
      </c>
      <c r="C23" s="326" t="s">
        <v>3156</v>
      </c>
      <c r="D23" s="326"/>
      <c r="E23" s="326"/>
      <c r="F23" s="326"/>
      <c r="G23" s="326"/>
      <c r="H23" s="326"/>
      <c r="I23" s="326"/>
      <c r="J23" s="326"/>
      <c r="K23" s="342"/>
      <c r="L23" s="342"/>
      <c r="M23" s="343"/>
      <c r="N23" s="391"/>
      <c r="O23" s="391"/>
      <c r="P23" s="391"/>
      <c r="Q23" s="391"/>
    </row>
    <row r="24" spans="2:20" ht="10" customHeight="1" x14ac:dyDescent="0.2">
      <c r="B24" s="177"/>
      <c r="C24" s="206"/>
      <c r="D24" s="206"/>
      <c r="E24" s="206"/>
      <c r="F24" s="206"/>
      <c r="G24" s="206"/>
      <c r="H24" s="206"/>
      <c r="I24" s="206"/>
      <c r="J24" s="206"/>
      <c r="K24" s="217"/>
      <c r="L24" s="217"/>
      <c r="M24" s="218"/>
      <c r="N24" s="391"/>
      <c r="O24" s="391"/>
      <c r="P24" s="391"/>
      <c r="Q24" s="391"/>
    </row>
    <row r="25" spans="2:20" ht="20" thickBot="1" x14ac:dyDescent="0.25">
      <c r="B25" s="323" t="s">
        <v>3157</v>
      </c>
      <c r="C25" s="413"/>
      <c r="D25" s="413"/>
      <c r="E25" s="413"/>
      <c r="F25" s="413"/>
      <c r="G25" s="413"/>
      <c r="H25" s="413"/>
      <c r="I25" s="413"/>
      <c r="J25" s="413"/>
      <c r="K25" s="413"/>
      <c r="L25" s="413"/>
      <c r="M25" s="414"/>
      <c r="N25" s="391"/>
      <c r="O25" s="391"/>
      <c r="P25" s="391"/>
      <c r="Q25" s="391"/>
    </row>
    <row r="26" spans="2:20" ht="17" thickTop="1" x14ac:dyDescent="0.2">
      <c r="D26"/>
      <c r="E26"/>
      <c r="F26"/>
      <c r="G26"/>
      <c r="H26"/>
      <c r="I26"/>
      <c r="J26"/>
      <c r="K26"/>
      <c r="L26"/>
      <c r="M26" s="78"/>
      <c r="N26" s="391"/>
      <c r="O26" s="391"/>
      <c r="P26" s="391"/>
      <c r="Q26" s="391"/>
    </row>
    <row r="27" spans="2:20" ht="16" x14ac:dyDescent="0.2">
      <c r="D27"/>
      <c r="E27"/>
      <c r="F27"/>
      <c r="G27"/>
      <c r="H27"/>
      <c r="I27"/>
      <c r="J27"/>
      <c r="K27"/>
      <c r="L27"/>
      <c r="M27" s="78"/>
      <c r="N27" s="391"/>
      <c r="O27" s="391"/>
      <c r="P27" s="391"/>
      <c r="Q27" s="391"/>
    </row>
    <row r="28" spans="2:20" ht="16" x14ac:dyDescent="0.2">
      <c r="D28"/>
      <c r="E28"/>
      <c r="F28"/>
      <c r="G28"/>
      <c r="H28"/>
      <c r="I28"/>
      <c r="J28"/>
      <c r="K28"/>
      <c r="L28"/>
      <c r="M28" s="78"/>
      <c r="N28" s="391"/>
      <c r="O28" s="391"/>
      <c r="P28" s="391"/>
      <c r="Q28" s="391"/>
    </row>
    <row r="29" spans="2:20" ht="16" x14ac:dyDescent="0.2">
      <c r="D29"/>
      <c r="E29"/>
      <c r="F29"/>
      <c r="G29"/>
      <c r="H29"/>
      <c r="I29"/>
      <c r="J29"/>
      <c r="K29"/>
      <c r="L29"/>
      <c r="M29" s="78"/>
      <c r="N29" s="391"/>
      <c r="O29" s="391"/>
      <c r="P29" s="391"/>
      <c r="Q29" s="391"/>
    </row>
    <row r="30" spans="2:20" ht="16" x14ac:dyDescent="0.2">
      <c r="D30"/>
      <c r="E30"/>
      <c r="F30"/>
      <c r="G30"/>
      <c r="H30"/>
      <c r="I30"/>
      <c r="J30"/>
      <c r="K30"/>
      <c r="L30"/>
      <c r="M30" s="78"/>
      <c r="N30" s="391"/>
      <c r="O30" s="391"/>
      <c r="P30" s="391"/>
      <c r="Q30" s="391"/>
    </row>
    <row r="31" spans="2:20" ht="16" x14ac:dyDescent="0.2">
      <c r="D31"/>
      <c r="E31"/>
      <c r="F31"/>
      <c r="G31"/>
      <c r="H31"/>
      <c r="I31"/>
      <c r="J31"/>
      <c r="K31"/>
      <c r="L31"/>
      <c r="M31" s="78"/>
    </row>
    <row r="32" spans="2:20"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c r="R111" s="85"/>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c r="R192" s="80"/>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row r="2225" spans="4:13" ht="16" x14ac:dyDescent="0.2">
      <c r="D2225"/>
      <c r="E2225"/>
      <c r="F2225"/>
      <c r="G2225"/>
      <c r="H2225"/>
      <c r="I2225"/>
      <c r="J2225"/>
      <c r="K2225"/>
      <c r="L2225"/>
      <c r="M2225" s="78"/>
    </row>
    <row r="2226" spans="4:13" ht="16" x14ac:dyDescent="0.2">
      <c r="D2226"/>
      <c r="E2226"/>
      <c r="F2226"/>
      <c r="G2226"/>
      <c r="H2226"/>
      <c r="I2226"/>
      <c r="J2226"/>
      <c r="K2226"/>
      <c r="L2226"/>
      <c r="M2226" s="78"/>
    </row>
    <row r="2227" spans="4:13" ht="16" x14ac:dyDescent="0.2">
      <c r="D2227"/>
      <c r="E2227"/>
      <c r="F2227"/>
      <c r="G2227"/>
      <c r="H2227"/>
      <c r="I2227"/>
      <c r="J2227"/>
      <c r="K2227"/>
      <c r="L2227"/>
      <c r="M2227" s="78"/>
    </row>
    <row r="2228" spans="4:13" ht="16" x14ac:dyDescent="0.2">
      <c r="D2228"/>
      <c r="E2228"/>
      <c r="F2228"/>
      <c r="G2228"/>
      <c r="H2228"/>
      <c r="I2228"/>
      <c r="J2228"/>
      <c r="K2228"/>
      <c r="L2228"/>
      <c r="M2228" s="78"/>
    </row>
    <row r="2229" spans="4:13" ht="16" x14ac:dyDescent="0.2">
      <c r="D2229"/>
      <c r="E2229"/>
      <c r="F2229"/>
      <c r="G2229"/>
      <c r="H2229"/>
      <c r="I2229"/>
      <c r="J2229"/>
      <c r="K2229"/>
      <c r="L2229"/>
      <c r="M2229" s="78"/>
    </row>
    <row r="2230" spans="4:13" ht="16" x14ac:dyDescent="0.2">
      <c r="D2230"/>
      <c r="E2230"/>
      <c r="F2230"/>
      <c r="G2230"/>
      <c r="H2230"/>
      <c r="I2230"/>
      <c r="J2230"/>
      <c r="K2230"/>
      <c r="L2230"/>
      <c r="M2230" s="78"/>
    </row>
  </sheetData>
  <sheetProtection algorithmName="SHA-512" hashValue="LIZmA1AnPKbsF8rE5ObEIaHWcUpBYc9uPF82d+bMhUZqGcxTyltvl5wr2x7c+QSvBd9DU3nnSTUvn7uvGFVR8g==" saltValue="wYTXcWb+bwNFD40KB0wAww==" spinCount="100000" sheet="1" formatColumns="0" formatRows="0" selectLockedCells="1"/>
  <mergeCells count="38">
    <mergeCell ref="J1:L1"/>
    <mergeCell ref="B9:C9"/>
    <mergeCell ref="B10:C10"/>
    <mergeCell ref="E10:H10"/>
    <mergeCell ref="K7:L7"/>
    <mergeCell ref="B6:M6"/>
    <mergeCell ref="B7:J7"/>
    <mergeCell ref="E9:J9"/>
    <mergeCell ref="N5:Q5"/>
    <mergeCell ref="N6:Q6"/>
    <mergeCell ref="N7:Q7"/>
    <mergeCell ref="B5:M5"/>
    <mergeCell ref="K18:L18"/>
    <mergeCell ref="B8:J8"/>
    <mergeCell ref="P9:Q9"/>
    <mergeCell ref="B11:C11"/>
    <mergeCell ref="B14:C14"/>
    <mergeCell ref="E14:H14"/>
    <mergeCell ref="E11:H11"/>
    <mergeCell ref="N9:O9"/>
    <mergeCell ref="B15:C15"/>
    <mergeCell ref="E15:H15"/>
    <mergeCell ref="B12:C12"/>
    <mergeCell ref="B13:C13"/>
    <mergeCell ref="E12:H12"/>
    <mergeCell ref="E13:H13"/>
    <mergeCell ref="C23:J23"/>
    <mergeCell ref="B25:M25"/>
    <mergeCell ref="N21:Q30"/>
    <mergeCell ref="B16:C16"/>
    <mergeCell ref="E16:H16"/>
    <mergeCell ref="B20:H20"/>
    <mergeCell ref="K20:M23"/>
    <mergeCell ref="C21:J21"/>
    <mergeCell ref="C22:J22"/>
    <mergeCell ref="N20:Q20"/>
    <mergeCell ref="B17:J17"/>
    <mergeCell ref="B18:J18"/>
  </mergeCells>
  <conditionalFormatting sqref="L10">
    <cfRule type="cellIs" dxfId="130" priority="28" operator="equal">
      <formula>0</formula>
    </cfRule>
  </conditionalFormatting>
  <conditionalFormatting sqref="M10">
    <cfRule type="expression" dxfId="129" priority="27">
      <formula>L10=0</formula>
    </cfRule>
  </conditionalFormatting>
  <conditionalFormatting sqref="P10">
    <cfRule type="expression" dxfId="128" priority="26">
      <formula>L10=0</formula>
    </cfRule>
  </conditionalFormatting>
  <conditionalFormatting sqref="Q10">
    <cfRule type="expression" dxfId="127" priority="25">
      <formula>L10=0</formula>
    </cfRule>
  </conditionalFormatting>
  <conditionalFormatting sqref="L11">
    <cfRule type="cellIs" dxfId="126" priority="24" operator="equal">
      <formula>0</formula>
    </cfRule>
  </conditionalFormatting>
  <conditionalFormatting sqref="M11">
    <cfRule type="expression" dxfId="125" priority="23">
      <formula>L11=0</formula>
    </cfRule>
  </conditionalFormatting>
  <conditionalFormatting sqref="P11">
    <cfRule type="expression" dxfId="124" priority="22">
      <formula>L11=0</formula>
    </cfRule>
  </conditionalFormatting>
  <conditionalFormatting sqref="Q11">
    <cfRule type="expression" dxfId="123" priority="21">
      <formula>L11=0</formula>
    </cfRule>
  </conditionalFormatting>
  <conditionalFormatting sqref="L14">
    <cfRule type="cellIs" dxfId="122" priority="20" operator="equal">
      <formula>0</formula>
    </cfRule>
  </conditionalFormatting>
  <conditionalFormatting sqref="M14">
    <cfRule type="expression" dxfId="121" priority="19">
      <formula>L14=0</formula>
    </cfRule>
  </conditionalFormatting>
  <conditionalFormatting sqref="P14">
    <cfRule type="expression" dxfId="120" priority="18">
      <formula>L14=0</formula>
    </cfRule>
  </conditionalFormatting>
  <conditionalFormatting sqref="Q14">
    <cfRule type="expression" dxfId="119" priority="17">
      <formula>L14=0</formula>
    </cfRule>
  </conditionalFormatting>
  <conditionalFormatting sqref="L16">
    <cfRule type="cellIs" dxfId="118" priority="16" operator="equal">
      <formula>0</formula>
    </cfRule>
  </conditionalFormatting>
  <conditionalFormatting sqref="M16">
    <cfRule type="expression" dxfId="117" priority="15">
      <formula>L16=0</formula>
    </cfRule>
  </conditionalFormatting>
  <conditionalFormatting sqref="P16">
    <cfRule type="expression" dxfId="116" priority="14">
      <formula>L16=0</formula>
    </cfRule>
  </conditionalFormatting>
  <conditionalFormatting sqref="Q16">
    <cfRule type="expression" dxfId="115" priority="13">
      <formula>L16=0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2">
    <cfRule type="cellIs" dxfId="110" priority="8" operator="equal">
      <formula>0</formula>
    </cfRule>
  </conditionalFormatting>
  <conditionalFormatting sqref="M12">
    <cfRule type="expression" dxfId="109" priority="7">
      <formula>L12=0</formula>
    </cfRule>
  </conditionalFormatting>
  <conditionalFormatting sqref="P12">
    <cfRule type="expression" dxfId="108" priority="6">
      <formula>L12=0</formula>
    </cfRule>
  </conditionalFormatting>
  <conditionalFormatting sqref="Q12">
    <cfRule type="expression" dxfId="107" priority="5">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5:M25"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AI1" zoomScale="75" zoomScaleNormal="70" zoomScalePageLayoutView="75" workbookViewId="0">
      <pane ySplit="1" topLeftCell="A2" activePane="bottomLeft" state="frozen"/>
      <selection activeCell="M13" sqref="M13"/>
      <selection pane="bottomLeft" activeCell="BW9" sqref="BW9"/>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2"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25"/>
      <c r="J1" s="425"/>
      <c r="K1" s="425"/>
      <c r="L1" s="425"/>
      <c r="M1" s="425"/>
      <c r="N1" s="425"/>
      <c r="O1" s="425"/>
      <c r="P1" s="167"/>
      <c r="Q1" s="168"/>
      <c r="R1" s="168"/>
      <c r="S1" s="168"/>
      <c r="T1" s="168"/>
      <c r="U1" s="168"/>
      <c r="V1" s="168"/>
      <c r="W1" s="169"/>
      <c r="X1" s="168"/>
      <c r="Y1" s="168"/>
      <c r="Z1" s="168"/>
      <c r="AA1" s="170"/>
      <c r="AB1" s="170"/>
      <c r="AC1" s="170"/>
      <c r="AD1" s="170"/>
      <c r="AE1" s="170"/>
      <c r="AF1" s="170"/>
      <c r="AG1" s="170"/>
      <c r="AH1" s="170"/>
      <c r="AI1" s="170"/>
      <c r="AJ1" s="170"/>
      <c r="AK1" s="170"/>
      <c r="AL1" s="422" t="s">
        <v>3097</v>
      </c>
      <c r="AM1" s="423"/>
      <c r="AN1" s="423"/>
      <c r="AO1" s="423"/>
      <c r="AP1" s="423"/>
      <c r="AQ1" s="423"/>
      <c r="AR1" s="423"/>
      <c r="AS1" s="423"/>
      <c r="AT1" s="423"/>
      <c r="AU1" s="423"/>
      <c r="AV1" s="423"/>
      <c r="AW1" s="423"/>
      <c r="AX1" s="423"/>
      <c r="AY1" s="423"/>
      <c r="AZ1" s="423"/>
      <c r="BA1" s="423"/>
      <c r="BB1" s="423"/>
      <c r="BC1" s="424"/>
      <c r="BD1" s="164"/>
      <c r="BE1" s="422" t="s">
        <v>3086</v>
      </c>
      <c r="BF1" s="423"/>
      <c r="BG1" s="423"/>
      <c r="BH1" s="423"/>
      <c r="BI1" s="423"/>
      <c r="BJ1" s="423"/>
      <c r="BK1" s="423"/>
      <c r="BL1" s="423"/>
      <c r="BM1" s="423"/>
      <c r="BN1" s="423"/>
      <c r="BO1" s="423"/>
      <c r="BP1" s="423"/>
      <c r="BQ1" s="424"/>
      <c r="BR1" s="163"/>
      <c r="BS1" s="422" t="s">
        <v>3079</v>
      </c>
      <c r="BT1" s="423"/>
      <c r="BU1" s="423"/>
      <c r="BV1" s="423"/>
      <c r="BW1" s="423"/>
      <c r="BX1" s="423"/>
      <c r="BY1" s="423"/>
      <c r="BZ1" s="423"/>
      <c r="CA1" s="423"/>
      <c r="CB1" s="423"/>
      <c r="CC1" s="423"/>
      <c r="CD1" s="423"/>
      <c r="CE1" s="423"/>
      <c r="CF1" s="423"/>
      <c r="CG1" s="423"/>
      <c r="CH1" s="423"/>
      <c r="CI1" s="423"/>
      <c r="CJ1" s="423"/>
      <c r="CK1" s="423"/>
      <c r="CL1" s="423"/>
      <c r="CM1" s="423"/>
      <c r="CN1" s="423"/>
      <c r="CO1" s="423"/>
      <c r="CP1" s="423"/>
      <c r="CQ1" s="423"/>
    </row>
    <row r="2" spans="1:95" ht="48" customHeight="1" thickBot="1" x14ac:dyDescent="0.35">
      <c r="A2" s="31">
        <v>10003</v>
      </c>
      <c r="B2" s="52" t="s">
        <v>186</v>
      </c>
      <c r="C2" s="40"/>
      <c r="D2" s="28">
        <v>15.25</v>
      </c>
      <c r="E2" s="29">
        <v>1</v>
      </c>
      <c r="F2" s="30" t="s">
        <v>0</v>
      </c>
      <c r="G2" s="201" t="s">
        <v>1500</v>
      </c>
      <c r="H2" s="6"/>
      <c r="I2" s="3"/>
      <c r="J2" s="426" t="s">
        <v>64</v>
      </c>
      <c r="K2" s="426"/>
      <c r="L2" s="426"/>
      <c r="M2" s="426"/>
      <c r="N2" s="426"/>
      <c r="O2" s="426"/>
      <c r="P2" s="117"/>
      <c r="Q2" s="153" t="s">
        <v>66</v>
      </c>
      <c r="R2" s="153" t="s">
        <v>137</v>
      </c>
      <c r="S2" s="153" t="s">
        <v>86</v>
      </c>
      <c r="T2" s="153" t="s">
        <v>146</v>
      </c>
      <c r="U2" s="153" t="s">
        <v>136</v>
      </c>
      <c r="V2" s="153" t="s">
        <v>147</v>
      </c>
      <c r="W2" s="153" t="s">
        <v>3100</v>
      </c>
      <c r="X2" s="154" t="s">
        <v>3098</v>
      </c>
      <c r="Y2" s="81" t="s">
        <v>1467</v>
      </c>
      <c r="Z2" s="159" t="s">
        <v>3042</v>
      </c>
      <c r="AA2" s="153" t="s">
        <v>3045</v>
      </c>
      <c r="AB2" s="81" t="s">
        <v>169</v>
      </c>
      <c r="AC2" s="81"/>
      <c r="AD2" s="42" t="s">
        <v>1473</v>
      </c>
      <c r="AE2" s="42" t="s">
        <v>1484</v>
      </c>
      <c r="AF2" s="42" t="s">
        <v>1474</v>
      </c>
      <c r="AG2" s="42" t="s">
        <v>1470</v>
      </c>
      <c r="AH2" s="42" t="s">
        <v>1485</v>
      </c>
      <c r="AI2" s="42" t="s">
        <v>1475</v>
      </c>
      <c r="AJ2" s="42" t="s">
        <v>1476</v>
      </c>
      <c r="AK2" s="42"/>
      <c r="AL2" s="118" t="s">
        <v>3062</v>
      </c>
      <c r="AM2" s="119" t="s">
        <v>1490</v>
      </c>
      <c r="AN2" s="120" t="s">
        <v>1491</v>
      </c>
      <c r="AO2" s="121" t="s">
        <v>3052</v>
      </c>
      <c r="AP2" s="120" t="s">
        <v>3049</v>
      </c>
      <c r="AQ2" s="120" t="s">
        <v>3050</v>
      </c>
      <c r="AR2" s="120" t="s">
        <v>3051</v>
      </c>
      <c r="AS2" s="120" t="s">
        <v>3053</v>
      </c>
      <c r="AT2" s="120" t="s">
        <v>3054</v>
      </c>
      <c r="AU2" s="120" t="s">
        <v>3055</v>
      </c>
      <c r="AV2" s="120" t="s">
        <v>3080</v>
      </c>
      <c r="AW2" s="120" t="s">
        <v>3081</v>
      </c>
      <c r="AX2" s="120" t="s">
        <v>3082</v>
      </c>
      <c r="AY2" s="120" t="s">
        <v>3083</v>
      </c>
      <c r="AZ2" s="120" t="s">
        <v>3056</v>
      </c>
      <c r="BA2" s="120" t="s">
        <v>3057</v>
      </c>
      <c r="BB2" s="120" t="s">
        <v>3058</v>
      </c>
      <c r="BC2" s="120" t="s">
        <v>3059</v>
      </c>
      <c r="BD2" s="116"/>
      <c r="BE2" s="142" t="s">
        <v>3062</v>
      </c>
      <c r="BF2" s="143" t="s">
        <v>1490</v>
      </c>
      <c r="BG2" s="134" t="s">
        <v>3084</v>
      </c>
      <c r="BH2" s="120" t="s">
        <v>3085</v>
      </c>
      <c r="BI2" s="120" t="s">
        <v>3094</v>
      </c>
      <c r="BJ2" s="120" t="s">
        <v>3095</v>
      </c>
      <c r="BK2" s="120" t="s">
        <v>3096</v>
      </c>
      <c r="BL2" s="120" t="s">
        <v>3060</v>
      </c>
      <c r="BM2" s="120" t="s">
        <v>3061</v>
      </c>
      <c r="BN2" s="120" t="s">
        <v>3090</v>
      </c>
      <c r="BO2" s="120" t="s">
        <v>3091</v>
      </c>
      <c r="BP2" s="120" t="s">
        <v>3092</v>
      </c>
      <c r="BQ2" s="120" t="s">
        <v>3093</v>
      </c>
      <c r="BR2" s="116"/>
      <c r="BS2" s="142" t="s">
        <v>3062</v>
      </c>
      <c r="BT2" s="143" t="s">
        <v>1490</v>
      </c>
      <c r="BU2" s="118" t="s">
        <v>3125</v>
      </c>
      <c r="BV2" s="118" t="s">
        <v>3126</v>
      </c>
      <c r="BW2" s="118" t="s">
        <v>1491</v>
      </c>
      <c r="BX2" s="118" t="s">
        <v>3121</v>
      </c>
      <c r="BY2" s="118" t="s">
        <v>3122</v>
      </c>
      <c r="BZ2" s="118" t="s">
        <v>3123</v>
      </c>
      <c r="CA2" s="118" t="s">
        <v>3124</v>
      </c>
      <c r="CB2" s="134" t="s">
        <v>3063</v>
      </c>
      <c r="CC2" s="120" t="s">
        <v>3064</v>
      </c>
      <c r="CD2" s="120" t="s">
        <v>3065</v>
      </c>
      <c r="CE2" s="120" t="s">
        <v>3066</v>
      </c>
      <c r="CF2" s="120" t="s">
        <v>3067</v>
      </c>
      <c r="CG2" s="120" t="s">
        <v>3068</v>
      </c>
      <c r="CH2" s="120" t="s">
        <v>3069</v>
      </c>
      <c r="CI2" s="120" t="s">
        <v>3070</v>
      </c>
      <c r="CJ2" s="120" t="s">
        <v>3071</v>
      </c>
      <c r="CK2" s="120" t="s">
        <v>3072</v>
      </c>
      <c r="CL2" s="120" t="s">
        <v>3073</v>
      </c>
      <c r="CM2" s="120" t="s">
        <v>3074</v>
      </c>
      <c r="CN2" s="120" t="s">
        <v>3075</v>
      </c>
      <c r="CO2" s="120" t="s">
        <v>3076</v>
      </c>
      <c r="CP2" s="120" t="s">
        <v>3077</v>
      </c>
      <c r="CQ2" s="120" t="s">
        <v>3078</v>
      </c>
    </row>
    <row r="3" spans="1:95" ht="48" customHeight="1" thickTop="1" thickBot="1" x14ac:dyDescent="0.3">
      <c r="A3" s="31">
        <v>10005</v>
      </c>
      <c r="B3" s="49" t="s">
        <v>7</v>
      </c>
      <c r="C3" s="32"/>
      <c r="D3" s="33">
        <v>14.25</v>
      </c>
      <c r="E3" s="34">
        <v>1</v>
      </c>
      <c r="F3" s="35" t="s">
        <v>0</v>
      </c>
      <c r="G3" s="201" t="s">
        <v>1501</v>
      </c>
      <c r="H3" s="6"/>
      <c r="I3" s="3"/>
      <c r="J3" s="55" t="s">
        <v>73</v>
      </c>
      <c r="K3" s="55" t="s">
        <v>74</v>
      </c>
      <c r="L3" s="55" t="s">
        <v>65</v>
      </c>
      <c r="M3" s="55" t="s">
        <v>66</v>
      </c>
      <c r="N3" s="55" t="s">
        <v>67</v>
      </c>
      <c r="O3" s="55" t="s">
        <v>68</v>
      </c>
      <c r="P3" s="55"/>
      <c r="Q3" s="155" t="s">
        <v>128</v>
      </c>
      <c r="R3" s="155" t="s">
        <v>157</v>
      </c>
      <c r="S3" s="155" t="s">
        <v>4</v>
      </c>
      <c r="T3" s="155" t="s">
        <v>1</v>
      </c>
      <c r="U3" s="155" t="s">
        <v>150</v>
      </c>
      <c r="V3" s="155" t="s">
        <v>78</v>
      </c>
      <c r="W3" s="155" t="s">
        <v>3101</v>
      </c>
      <c r="X3" s="156">
        <v>0.1</v>
      </c>
      <c r="Y3" s="156">
        <v>5.0000000000000001E-3</v>
      </c>
      <c r="Z3" s="160" t="s">
        <v>3087</v>
      </c>
      <c r="AA3" s="88">
        <v>2.0000000000000001E-4</v>
      </c>
      <c r="AB3" s="88">
        <v>0</v>
      </c>
      <c r="AC3" s="88"/>
      <c r="AD3" s="43" t="s">
        <v>3015</v>
      </c>
      <c r="AE3" s="44" t="s">
        <v>3152</v>
      </c>
      <c r="AF3" s="46"/>
      <c r="AG3" s="43" t="s">
        <v>3015</v>
      </c>
      <c r="AH3" s="44" t="s">
        <v>3119</v>
      </c>
      <c r="AI3" s="46"/>
      <c r="AJ3" s="45" t="s">
        <v>111</v>
      </c>
      <c r="AK3" s="45"/>
      <c r="AL3" s="122" t="s">
        <v>1492</v>
      </c>
      <c r="AM3" s="123" t="s">
        <v>1493</v>
      </c>
      <c r="AN3" s="124" t="s">
        <v>1494</v>
      </c>
      <c r="AO3" s="125">
        <v>0.1</v>
      </c>
      <c r="AP3" s="124">
        <v>0.15</v>
      </c>
      <c r="AQ3" s="124">
        <v>0.2</v>
      </c>
      <c r="AR3" s="124">
        <v>0.25</v>
      </c>
      <c r="AS3" s="124">
        <v>0.3</v>
      </c>
      <c r="AT3" s="124">
        <v>0.35</v>
      </c>
      <c r="AU3" s="124">
        <v>0.4</v>
      </c>
      <c r="AV3" s="124">
        <v>0.45</v>
      </c>
      <c r="AW3" s="124">
        <v>0.5</v>
      </c>
      <c r="AX3" s="124">
        <v>0.55000000000000004</v>
      </c>
      <c r="AY3" s="124">
        <v>0.6</v>
      </c>
      <c r="AZ3" s="124">
        <v>0.65</v>
      </c>
      <c r="BA3" s="124">
        <v>0.7</v>
      </c>
      <c r="BB3" s="124">
        <v>0.75</v>
      </c>
      <c r="BC3" s="124">
        <v>0.8</v>
      </c>
      <c r="BD3" s="116"/>
      <c r="BE3" s="144" t="s">
        <v>1492</v>
      </c>
      <c r="BF3" s="145" t="s">
        <v>1493</v>
      </c>
      <c r="BG3" s="135">
        <v>0.2</v>
      </c>
      <c r="BH3" s="124">
        <v>0.25</v>
      </c>
      <c r="BI3" s="124">
        <v>0.3</v>
      </c>
      <c r="BJ3" s="124">
        <v>0.35</v>
      </c>
      <c r="BK3" s="124">
        <v>0.4</v>
      </c>
      <c r="BL3" s="124">
        <v>0.45</v>
      </c>
      <c r="BM3" s="124">
        <v>0.5</v>
      </c>
      <c r="BN3" s="124">
        <v>0.55000000000000004</v>
      </c>
      <c r="BO3" s="124">
        <v>0.6</v>
      </c>
      <c r="BP3" s="124">
        <v>0.65</v>
      </c>
      <c r="BQ3" s="124">
        <v>0.7</v>
      </c>
      <c r="BR3" s="116"/>
      <c r="BS3" s="144" t="s">
        <v>1492</v>
      </c>
      <c r="BT3" s="145" t="s">
        <v>1493</v>
      </c>
      <c r="BU3" s="124">
        <v>0.4</v>
      </c>
      <c r="BV3" s="135">
        <v>0.45</v>
      </c>
      <c r="BW3" s="124">
        <v>0.5</v>
      </c>
      <c r="BX3" s="135">
        <v>0.55000000000000004</v>
      </c>
      <c r="BY3" s="124">
        <v>0.6</v>
      </c>
      <c r="BZ3" s="135">
        <v>0.65</v>
      </c>
      <c r="CA3" s="124">
        <v>0.7</v>
      </c>
      <c r="CB3" s="135">
        <v>0.75</v>
      </c>
      <c r="CC3" s="124">
        <v>0.8</v>
      </c>
      <c r="CD3" s="124">
        <v>0.85</v>
      </c>
      <c r="CE3" s="124">
        <v>0.9</v>
      </c>
      <c r="CF3" s="124">
        <v>0.95</v>
      </c>
      <c r="CG3" s="124">
        <v>1</v>
      </c>
      <c r="CH3" s="124">
        <v>1.05</v>
      </c>
      <c r="CI3" s="124">
        <v>1.1000000000000001</v>
      </c>
      <c r="CJ3" s="124">
        <v>1.1499999999999999</v>
      </c>
      <c r="CK3" s="124">
        <v>1.2</v>
      </c>
      <c r="CL3" s="124">
        <v>1.25</v>
      </c>
      <c r="CM3" s="124">
        <v>1.3</v>
      </c>
      <c r="CN3" s="124">
        <v>1.35</v>
      </c>
      <c r="CO3" s="124">
        <v>1.4</v>
      </c>
      <c r="CP3" s="124">
        <v>1.45</v>
      </c>
      <c r="CQ3" s="124">
        <v>1.5</v>
      </c>
    </row>
    <row r="4" spans="1:95" ht="48" customHeight="1" thickTop="1" thickBot="1" x14ac:dyDescent="0.3">
      <c r="A4" s="27">
        <v>10007</v>
      </c>
      <c r="B4" s="197" t="s">
        <v>170</v>
      </c>
      <c r="C4" s="199">
        <v>0.56799999999999995</v>
      </c>
      <c r="D4" s="37">
        <v>6.4</v>
      </c>
      <c r="E4" s="38">
        <v>1</v>
      </c>
      <c r="F4" s="39" t="s">
        <v>0</v>
      </c>
      <c r="G4" s="48" t="s">
        <v>1502</v>
      </c>
      <c r="H4" s="6"/>
      <c r="I4" s="3"/>
      <c r="J4" s="56">
        <v>11055</v>
      </c>
      <c r="K4" s="57" t="s">
        <v>36</v>
      </c>
      <c r="L4" s="58">
        <v>8</v>
      </c>
      <c r="M4" s="58">
        <v>8</v>
      </c>
      <c r="N4" s="58">
        <v>8</v>
      </c>
      <c r="O4" s="58">
        <v>8</v>
      </c>
      <c r="P4" s="58"/>
      <c r="Q4" s="155" t="s">
        <v>104</v>
      </c>
      <c r="R4" s="155" t="s">
        <v>90</v>
      </c>
      <c r="S4" s="155" t="s">
        <v>52</v>
      </c>
      <c r="T4" s="155" t="s">
        <v>9</v>
      </c>
      <c r="U4" s="155" t="s">
        <v>85</v>
      </c>
      <c r="V4" s="155" t="s">
        <v>79</v>
      </c>
      <c r="W4" s="155" t="s">
        <v>3102</v>
      </c>
      <c r="X4" s="156">
        <v>0.15</v>
      </c>
      <c r="Y4" s="156">
        <v>6.0000000000000001E-3</v>
      </c>
      <c r="Z4" s="160" t="s">
        <v>3088</v>
      </c>
      <c r="AA4" s="88">
        <v>2.9999999999999997E-4</v>
      </c>
      <c r="AB4" s="88">
        <v>5.0000000000000001E-3</v>
      </c>
      <c r="AC4" s="88"/>
      <c r="AD4" s="43" t="s">
        <v>3015</v>
      </c>
      <c r="AE4" s="44" t="s">
        <v>1477</v>
      </c>
      <c r="AF4" s="46"/>
      <c r="AG4" s="43" t="s">
        <v>3015</v>
      </c>
      <c r="AH4" s="44" t="s">
        <v>1472</v>
      </c>
      <c r="AI4" s="46"/>
      <c r="AJ4" s="46" t="s">
        <v>1</v>
      </c>
      <c r="AK4" s="46"/>
      <c r="AL4" s="129">
        <v>11076</v>
      </c>
      <c r="AM4" s="130" t="s">
        <v>174</v>
      </c>
      <c r="AN4" s="131">
        <v>2.5000000000000001E-2</v>
      </c>
      <c r="AO4" s="132">
        <v>0.01</v>
      </c>
      <c r="AP4" s="131">
        <v>1.4999999999999999E-2</v>
      </c>
      <c r="AQ4" s="131">
        <v>0.02</v>
      </c>
      <c r="AR4" s="131">
        <v>2.5000000000000001E-2</v>
      </c>
      <c r="AS4" s="131">
        <v>0.03</v>
      </c>
      <c r="AT4" s="131"/>
      <c r="AU4" s="131"/>
      <c r="AV4" s="131"/>
      <c r="AW4" s="131"/>
      <c r="AX4" s="131"/>
      <c r="AY4" s="131"/>
      <c r="AZ4" s="131"/>
      <c r="BA4" s="131"/>
      <c r="BB4" s="131"/>
      <c r="BC4" s="131"/>
      <c r="BD4" s="115"/>
      <c r="BE4" s="146">
        <v>11076</v>
      </c>
      <c r="BF4" s="147" t="s">
        <v>174</v>
      </c>
      <c r="BG4" s="137">
        <v>0.01</v>
      </c>
      <c r="BH4" s="131">
        <v>1.4999999999999999E-2</v>
      </c>
      <c r="BI4" s="131">
        <v>0.02</v>
      </c>
      <c r="BJ4" s="131">
        <v>2.5000000000000001E-2</v>
      </c>
      <c r="BK4" s="131">
        <v>0.03</v>
      </c>
      <c r="BL4" s="131"/>
      <c r="BM4" s="131"/>
      <c r="BN4" s="131"/>
      <c r="BO4" s="131"/>
      <c r="BP4" s="131"/>
      <c r="BQ4" s="131"/>
      <c r="BR4" s="115"/>
      <c r="BS4" s="146">
        <v>11076</v>
      </c>
      <c r="BT4" s="147" t="s">
        <v>174</v>
      </c>
      <c r="BU4" s="174"/>
      <c r="BV4" s="174"/>
      <c r="BW4" s="174"/>
      <c r="BX4" s="174"/>
      <c r="BY4" s="174"/>
      <c r="BZ4" s="174"/>
      <c r="CA4" s="174"/>
      <c r="CB4" s="137"/>
      <c r="CC4" s="131"/>
      <c r="CD4" s="131"/>
      <c r="CE4" s="131"/>
      <c r="CF4" s="131"/>
      <c r="CG4" s="131"/>
      <c r="CH4" s="131"/>
      <c r="CI4" s="131"/>
      <c r="CJ4" s="131"/>
      <c r="CK4" s="131"/>
      <c r="CL4" s="131"/>
      <c r="CM4" s="131"/>
      <c r="CN4" s="131"/>
      <c r="CO4" s="131"/>
      <c r="CP4" s="131"/>
      <c r="CQ4" s="131"/>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5" t="s">
        <v>105</v>
      </c>
      <c r="R5" s="155" t="s">
        <v>91</v>
      </c>
      <c r="S5" s="155" t="s">
        <v>86</v>
      </c>
      <c r="T5" s="155" t="s">
        <v>17</v>
      </c>
      <c r="U5" s="155" t="s">
        <v>151</v>
      </c>
      <c r="V5" s="155" t="s">
        <v>148</v>
      </c>
      <c r="W5" s="155" t="s">
        <v>3099</v>
      </c>
      <c r="X5" s="156">
        <v>0.2</v>
      </c>
      <c r="Y5" s="156">
        <v>7.0000000000000001E-3</v>
      </c>
      <c r="Z5" s="160" t="s">
        <v>66</v>
      </c>
      <c r="AA5" s="88">
        <v>4.0000000000000002E-4</v>
      </c>
      <c r="AB5" s="88">
        <v>0.01</v>
      </c>
      <c r="AC5" s="88"/>
      <c r="AD5" s="43" t="s">
        <v>3015</v>
      </c>
      <c r="AE5" s="44" t="s">
        <v>1478</v>
      </c>
      <c r="AF5" s="46"/>
      <c r="AG5" s="43" t="s">
        <v>3015</v>
      </c>
      <c r="AH5" s="44" t="s">
        <v>3116</v>
      </c>
      <c r="AI5" s="46"/>
      <c r="AJ5" s="46"/>
      <c r="AK5" s="46"/>
      <c r="AL5" s="126">
        <v>11176</v>
      </c>
      <c r="AM5" s="133" t="s">
        <v>175</v>
      </c>
      <c r="AN5" s="127">
        <v>0.01</v>
      </c>
      <c r="AO5" s="128">
        <v>2.5000000000000001E-3</v>
      </c>
      <c r="AP5" s="127">
        <v>5.0000000000000001E-3</v>
      </c>
      <c r="AQ5" s="127">
        <v>7.4999999999999997E-3</v>
      </c>
      <c r="AR5" s="127">
        <v>0.01</v>
      </c>
      <c r="AS5" s="127">
        <v>1.2500000000000001E-2</v>
      </c>
      <c r="AT5" s="127"/>
      <c r="AU5" s="127"/>
      <c r="AV5" s="127"/>
      <c r="AW5" s="127"/>
      <c r="AX5" s="127"/>
      <c r="AY5" s="127"/>
      <c r="AZ5" s="127"/>
      <c r="BA5" s="127"/>
      <c r="BB5" s="127"/>
      <c r="BC5" s="127"/>
      <c r="BD5" s="115"/>
      <c r="BE5" s="148">
        <v>11176</v>
      </c>
      <c r="BF5" s="149" t="s">
        <v>175</v>
      </c>
      <c r="BG5" s="136">
        <v>2.5000000000000001E-3</v>
      </c>
      <c r="BH5" s="127">
        <v>5.0000000000000001E-3</v>
      </c>
      <c r="BI5" s="127">
        <v>7.4999999999999997E-3</v>
      </c>
      <c r="BJ5" s="127">
        <v>0.01</v>
      </c>
      <c r="BK5" s="127">
        <v>1.2500000000000001E-2</v>
      </c>
      <c r="BL5" s="127"/>
      <c r="BM5" s="127"/>
      <c r="BN5" s="127"/>
      <c r="BO5" s="127"/>
      <c r="BP5" s="127"/>
      <c r="BQ5" s="127"/>
      <c r="BR5" s="115"/>
      <c r="BS5" s="148">
        <v>11176</v>
      </c>
      <c r="BT5" s="149" t="s">
        <v>175</v>
      </c>
      <c r="BU5" s="175"/>
      <c r="BV5" s="175"/>
      <c r="BW5" s="175"/>
      <c r="BX5" s="175"/>
      <c r="BY5" s="175"/>
      <c r="BZ5" s="175"/>
      <c r="CA5" s="175"/>
      <c r="CB5" s="136"/>
      <c r="CC5" s="127"/>
      <c r="CD5" s="127"/>
      <c r="CE5" s="127"/>
      <c r="CF5" s="127"/>
      <c r="CG5" s="127"/>
      <c r="CH5" s="127"/>
      <c r="CI5" s="127"/>
      <c r="CJ5" s="127"/>
      <c r="CK5" s="127"/>
      <c r="CL5" s="127"/>
      <c r="CM5" s="127"/>
      <c r="CN5" s="127"/>
      <c r="CO5" s="127"/>
      <c r="CP5" s="127"/>
      <c r="CQ5" s="127"/>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5" t="s">
        <v>106</v>
      </c>
      <c r="R6" s="155" t="s">
        <v>92</v>
      </c>
      <c r="S6" s="155" t="s">
        <v>62</v>
      </c>
      <c r="T6" s="155" t="s">
        <v>39</v>
      </c>
      <c r="U6" s="155" t="s">
        <v>81</v>
      </c>
      <c r="V6" s="155" t="s">
        <v>149</v>
      </c>
      <c r="W6" s="155" t="s">
        <v>3103</v>
      </c>
      <c r="X6" s="156">
        <v>0.25</v>
      </c>
      <c r="Y6" s="156">
        <v>8.0000000000000002E-3</v>
      </c>
      <c r="Z6" s="160" t="s">
        <v>65</v>
      </c>
      <c r="AA6" s="88">
        <v>5.0000000000000001E-4</v>
      </c>
      <c r="AB6" s="88">
        <v>1.4999999999999999E-2</v>
      </c>
      <c r="AC6" s="88"/>
      <c r="AD6" s="43" t="s">
        <v>3015</v>
      </c>
      <c r="AE6" s="44" t="s">
        <v>1479</v>
      </c>
      <c r="AF6" s="46"/>
      <c r="AG6" s="43" t="s">
        <v>3117</v>
      </c>
      <c r="AH6" s="43" t="s">
        <v>183</v>
      </c>
      <c r="AI6" s="46"/>
      <c r="AJ6" s="46"/>
      <c r="AK6" s="46"/>
      <c r="AL6" s="129">
        <v>11152</v>
      </c>
      <c r="AM6" s="130" t="s">
        <v>177</v>
      </c>
      <c r="AN6" s="131">
        <v>1.7999999999999999E-2</v>
      </c>
      <c r="AO6" s="132">
        <v>1.7999999999999999E-2</v>
      </c>
      <c r="AP6" s="131">
        <v>1.7999999999999999E-2</v>
      </c>
      <c r="AQ6" s="131">
        <v>1.7999999999999999E-2</v>
      </c>
      <c r="AR6" s="131">
        <v>1.7999999999999999E-2</v>
      </c>
      <c r="AS6" s="131">
        <v>1.7999999999999999E-2</v>
      </c>
      <c r="AT6" s="131">
        <v>1.7999999999999999E-2</v>
      </c>
      <c r="AU6" s="131">
        <v>1.7999999999999999E-2</v>
      </c>
      <c r="AV6" s="131">
        <v>1.7999999999999999E-2</v>
      </c>
      <c r="AW6" s="131">
        <v>1.7999999999999999E-2</v>
      </c>
      <c r="AX6" s="131">
        <v>1.7999999999999999E-2</v>
      </c>
      <c r="AY6" s="131">
        <v>1.7999999999999999E-2</v>
      </c>
      <c r="AZ6" s="131">
        <v>1.7999999999999999E-2</v>
      </c>
      <c r="BA6" s="131">
        <v>1.7999999999999999E-2</v>
      </c>
      <c r="BB6" s="131">
        <v>1.7999999999999999E-2</v>
      </c>
      <c r="BC6" s="131">
        <v>1.7999999999999999E-2</v>
      </c>
      <c r="BD6" s="115"/>
      <c r="BE6" s="146">
        <v>11152</v>
      </c>
      <c r="BF6" s="147" t="s">
        <v>177</v>
      </c>
      <c r="BG6" s="137">
        <v>1.7999999999999999E-2</v>
      </c>
      <c r="BH6" s="131">
        <v>1.7999999999999999E-2</v>
      </c>
      <c r="BI6" s="131">
        <v>1.7999999999999999E-2</v>
      </c>
      <c r="BJ6" s="131">
        <v>1.7999999999999999E-2</v>
      </c>
      <c r="BK6" s="131">
        <v>1.7999999999999999E-2</v>
      </c>
      <c r="BL6" s="131">
        <v>1.7999999999999999E-2</v>
      </c>
      <c r="BM6" s="131">
        <v>1.7999999999999999E-2</v>
      </c>
      <c r="BN6" s="131">
        <v>1.7999999999999999E-2</v>
      </c>
      <c r="BO6" s="131">
        <v>1.7999999999999999E-2</v>
      </c>
      <c r="BP6" s="131">
        <v>1.7999999999999999E-2</v>
      </c>
      <c r="BQ6" s="131">
        <v>1.7999999999999999E-2</v>
      </c>
      <c r="BR6" s="115"/>
      <c r="BS6" s="146">
        <v>11152</v>
      </c>
      <c r="BT6" s="147" t="s">
        <v>177</v>
      </c>
      <c r="BU6" s="137">
        <v>1.7999999999999999E-2</v>
      </c>
      <c r="BV6" s="137">
        <v>1.7999999999999999E-2</v>
      </c>
      <c r="BW6" s="137">
        <v>1.7999999999999999E-2</v>
      </c>
      <c r="BX6" s="137">
        <v>1.7999999999999999E-2</v>
      </c>
      <c r="BY6" s="137">
        <v>1.7999999999999999E-2</v>
      </c>
      <c r="BZ6" s="137">
        <v>1.7999999999999999E-2</v>
      </c>
      <c r="CA6" s="137">
        <v>1.7999999999999999E-2</v>
      </c>
      <c r="CB6" s="137">
        <v>1.7999999999999999E-2</v>
      </c>
      <c r="CC6" s="131">
        <v>1.7999999999999999E-2</v>
      </c>
      <c r="CD6" s="131">
        <v>1.7999999999999999E-2</v>
      </c>
      <c r="CE6" s="131">
        <v>1.7999999999999999E-2</v>
      </c>
      <c r="CF6" s="131">
        <v>1.7999999999999999E-2</v>
      </c>
      <c r="CG6" s="131">
        <v>1.7999999999999999E-2</v>
      </c>
      <c r="CH6" s="131">
        <v>1.7999999999999999E-2</v>
      </c>
      <c r="CI6" s="131">
        <v>1.7999999999999999E-2</v>
      </c>
      <c r="CJ6" s="131">
        <v>1.7999999999999999E-2</v>
      </c>
      <c r="CK6" s="131">
        <v>1.7999999999999999E-2</v>
      </c>
      <c r="CL6" s="131">
        <v>1.7999999999999999E-2</v>
      </c>
      <c r="CM6" s="131">
        <v>1.7999999999999999E-2</v>
      </c>
      <c r="CN6" s="131">
        <v>1.7999999999999999E-2</v>
      </c>
      <c r="CO6" s="131">
        <v>1.7999999999999999E-2</v>
      </c>
      <c r="CP6" s="131">
        <v>1.7999999999999999E-2</v>
      </c>
      <c r="CQ6" s="131">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5" t="s">
        <v>107</v>
      </c>
      <c r="R7" s="155" t="s">
        <v>93</v>
      </c>
      <c r="S7" s="155" t="s">
        <v>80</v>
      </c>
      <c r="T7" s="155" t="s">
        <v>19</v>
      </c>
      <c r="U7" s="155" t="s">
        <v>82</v>
      </c>
      <c r="V7" s="155" t="s">
        <v>89</v>
      </c>
      <c r="W7" s="155" t="s">
        <v>174</v>
      </c>
      <c r="X7" s="156">
        <v>0.3</v>
      </c>
      <c r="Y7" s="156">
        <v>8.9999999999999993E-3</v>
      </c>
      <c r="Z7" s="160" t="s">
        <v>68</v>
      </c>
      <c r="AA7" s="88">
        <v>5.9999999999999995E-4</v>
      </c>
      <c r="AB7" s="88">
        <v>0.02</v>
      </c>
      <c r="AC7" s="88"/>
      <c r="AD7" s="43" t="s">
        <v>3015</v>
      </c>
      <c r="AE7" s="44" t="s">
        <v>1480</v>
      </c>
      <c r="AF7" s="46"/>
      <c r="AG7" s="43" t="s">
        <v>183</v>
      </c>
      <c r="AH7" s="46" t="s">
        <v>183</v>
      </c>
      <c r="AI7" s="46"/>
      <c r="AJ7" s="46"/>
      <c r="AK7" s="46"/>
      <c r="AL7" s="129">
        <v>11066</v>
      </c>
      <c r="AM7" s="130" t="s">
        <v>364</v>
      </c>
      <c r="AN7" s="131">
        <v>3.6999999999999998E-2</v>
      </c>
      <c r="AO7" s="132">
        <v>3.6999999999999998E-2</v>
      </c>
      <c r="AP7" s="131">
        <v>3.6999999999999998E-2</v>
      </c>
      <c r="AQ7" s="131">
        <v>3.6999999999999998E-2</v>
      </c>
      <c r="AR7" s="131">
        <v>3.6999999999999998E-2</v>
      </c>
      <c r="AS7" s="131">
        <v>3.6999999999999998E-2</v>
      </c>
      <c r="AT7" s="131">
        <v>3.6999999999999998E-2</v>
      </c>
      <c r="AU7" s="131">
        <v>3.6999999999999998E-2</v>
      </c>
      <c r="AV7" s="131">
        <v>3.6999999999999998E-2</v>
      </c>
      <c r="AW7" s="131">
        <v>3.6999999999999998E-2</v>
      </c>
      <c r="AX7" s="131">
        <v>3.6999999999999998E-2</v>
      </c>
      <c r="AY7" s="131">
        <v>3.6999999999999998E-2</v>
      </c>
      <c r="AZ7" s="131">
        <v>3.6999999999999998E-2</v>
      </c>
      <c r="BA7" s="131">
        <v>3.6999999999999998E-2</v>
      </c>
      <c r="BB7" s="131">
        <v>3.6999999999999998E-2</v>
      </c>
      <c r="BC7" s="131">
        <v>3.6999999999999998E-2</v>
      </c>
      <c r="BD7" s="115"/>
      <c r="BE7" s="129">
        <v>11066</v>
      </c>
      <c r="BF7" s="130" t="s">
        <v>364</v>
      </c>
      <c r="BG7" s="131"/>
      <c r="BH7" s="131"/>
      <c r="BI7" s="131"/>
      <c r="BJ7" s="131"/>
      <c r="BK7" s="131"/>
      <c r="BL7" s="131"/>
      <c r="BM7" s="131"/>
      <c r="BN7" s="131"/>
      <c r="BO7" s="131"/>
      <c r="BP7" s="131"/>
      <c r="BQ7" s="131"/>
      <c r="BR7" s="115"/>
      <c r="BS7" s="129">
        <v>11066</v>
      </c>
      <c r="BT7" s="130" t="s">
        <v>364</v>
      </c>
      <c r="BU7" s="137">
        <v>3.6999999999999998E-2</v>
      </c>
      <c r="BV7" s="137">
        <v>3.6999999999999998E-2</v>
      </c>
      <c r="BW7" s="137">
        <v>3.6999999999999998E-2</v>
      </c>
      <c r="BX7" s="137">
        <v>3.6999999999999998E-2</v>
      </c>
      <c r="BY7" s="137">
        <v>3.6999999999999998E-2</v>
      </c>
      <c r="BZ7" s="137">
        <v>3.6999999999999998E-2</v>
      </c>
      <c r="CA7" s="137">
        <v>3.6999999999999998E-2</v>
      </c>
      <c r="CB7" s="137">
        <v>3.6999999999999998E-2</v>
      </c>
      <c r="CC7" s="131">
        <v>3.6999999999999998E-2</v>
      </c>
      <c r="CD7" s="131">
        <v>3.6999999999999998E-2</v>
      </c>
      <c r="CE7" s="131">
        <v>3.6999999999999998E-2</v>
      </c>
      <c r="CF7" s="131">
        <v>3.6999999999999998E-2</v>
      </c>
      <c r="CG7" s="131">
        <v>3.6999999999999998E-2</v>
      </c>
      <c r="CH7" s="131"/>
      <c r="CI7" s="131"/>
      <c r="CJ7" s="131"/>
      <c r="CK7" s="131"/>
      <c r="CL7" s="131"/>
      <c r="CM7" s="131"/>
      <c r="CN7" s="131"/>
      <c r="CO7" s="131"/>
      <c r="CP7" s="131"/>
      <c r="CQ7" s="131"/>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5" t="s">
        <v>129</v>
      </c>
      <c r="R8" s="155" t="s">
        <v>94</v>
      </c>
      <c r="S8" s="155" t="s">
        <v>1471</v>
      </c>
      <c r="T8" s="155" t="s">
        <v>40</v>
      </c>
      <c r="U8" s="155" t="s">
        <v>79</v>
      </c>
      <c r="V8" s="155" t="s">
        <v>38</v>
      </c>
      <c r="W8" s="155" t="s">
        <v>175</v>
      </c>
      <c r="X8" s="156">
        <v>0.35</v>
      </c>
      <c r="Y8" s="156">
        <v>0.01</v>
      </c>
      <c r="Z8" s="160" t="s">
        <v>3089</v>
      </c>
      <c r="AA8" s="88">
        <v>6.9999999999999999E-4</v>
      </c>
      <c r="AB8" s="88">
        <v>2.5000000000000001E-2</v>
      </c>
      <c r="AC8" s="88"/>
      <c r="AD8" s="43" t="s">
        <v>3015</v>
      </c>
      <c r="AE8" s="44" t="s">
        <v>1483</v>
      </c>
      <c r="AF8" s="46"/>
      <c r="AG8" s="43" t="s">
        <v>3015</v>
      </c>
      <c r="AH8" s="44" t="s">
        <v>1483</v>
      </c>
      <c r="AI8" s="46"/>
      <c r="AJ8" s="46"/>
      <c r="AK8" s="46"/>
      <c r="AL8" s="126">
        <v>11023</v>
      </c>
      <c r="AM8" s="133" t="s">
        <v>172</v>
      </c>
      <c r="AN8" s="127">
        <v>0.04</v>
      </c>
      <c r="AO8" s="128">
        <v>0.03</v>
      </c>
      <c r="AP8" s="127">
        <v>3.15E-2</v>
      </c>
      <c r="AQ8" s="127">
        <v>3.3000000000000002E-2</v>
      </c>
      <c r="AR8" s="127">
        <v>3.4500000000000003E-2</v>
      </c>
      <c r="AS8" s="127">
        <v>3.5999999999999997E-2</v>
      </c>
      <c r="AT8" s="127">
        <v>3.7499999999999999E-2</v>
      </c>
      <c r="AU8" s="127">
        <v>3.9E-2</v>
      </c>
      <c r="AV8" s="127">
        <v>0.04</v>
      </c>
      <c r="AW8" s="127">
        <v>0.04</v>
      </c>
      <c r="AX8" s="127">
        <v>0.04</v>
      </c>
      <c r="AY8" s="127">
        <v>0.04</v>
      </c>
      <c r="AZ8" s="127">
        <v>0.04</v>
      </c>
      <c r="BA8" s="127">
        <v>0.04</v>
      </c>
      <c r="BB8" s="127">
        <v>0.04</v>
      </c>
      <c r="BC8" s="127">
        <v>0.04</v>
      </c>
      <c r="BD8" s="115"/>
      <c r="BE8" s="148">
        <v>11023</v>
      </c>
      <c r="BF8" s="149" t="s">
        <v>172</v>
      </c>
      <c r="BG8" s="136">
        <v>0.02</v>
      </c>
      <c r="BH8" s="127">
        <v>0.02</v>
      </c>
      <c r="BI8" s="127">
        <v>0.02</v>
      </c>
      <c r="BJ8" s="127">
        <v>2.1999999999999999E-2</v>
      </c>
      <c r="BK8" s="127">
        <v>2.1999999999999999E-2</v>
      </c>
      <c r="BL8" s="127">
        <v>2.35E-2</v>
      </c>
      <c r="BM8" s="127">
        <v>2.5000000000000001E-2</v>
      </c>
      <c r="BN8" s="127">
        <v>2.6499999999999999E-2</v>
      </c>
      <c r="BO8" s="127">
        <v>2.8000000000000001E-2</v>
      </c>
      <c r="BP8" s="127">
        <v>0.03</v>
      </c>
      <c r="BQ8" s="127">
        <v>3.2000000000000001E-2</v>
      </c>
      <c r="BR8" s="115"/>
      <c r="BS8" s="148">
        <v>11023</v>
      </c>
      <c r="BT8" s="149" t="s">
        <v>172</v>
      </c>
      <c r="BU8" s="136">
        <v>0.04</v>
      </c>
      <c r="BV8" s="136">
        <v>0.04</v>
      </c>
      <c r="BW8" s="136">
        <v>0.04</v>
      </c>
      <c r="BX8" s="136">
        <v>0.04</v>
      </c>
      <c r="BY8" s="136">
        <v>0.04</v>
      </c>
      <c r="BZ8" s="136">
        <v>0.04</v>
      </c>
      <c r="CA8" s="136">
        <v>0.04</v>
      </c>
      <c r="CB8" s="136">
        <v>0.04</v>
      </c>
      <c r="CC8" s="127">
        <v>0.04</v>
      </c>
      <c r="CD8" s="127">
        <v>0.04</v>
      </c>
      <c r="CE8" s="127">
        <v>0.04</v>
      </c>
      <c r="CF8" s="127">
        <v>0.04</v>
      </c>
      <c r="CG8" s="127">
        <v>0.04</v>
      </c>
      <c r="CH8" s="127">
        <v>0.04</v>
      </c>
      <c r="CI8" s="127">
        <v>0.04</v>
      </c>
      <c r="CJ8" s="127">
        <v>0.04</v>
      </c>
      <c r="CK8" s="127">
        <v>0.04</v>
      </c>
      <c r="CL8" s="127">
        <v>0.04</v>
      </c>
      <c r="CM8" s="127">
        <v>0.04</v>
      </c>
      <c r="CN8" s="127">
        <v>0.04</v>
      </c>
      <c r="CO8" s="127">
        <v>0.04</v>
      </c>
      <c r="CP8" s="127">
        <v>0.04</v>
      </c>
      <c r="CQ8" s="127">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5" t="s">
        <v>130</v>
      </c>
      <c r="R9" s="155" t="s">
        <v>95</v>
      </c>
      <c r="S9" s="155" t="s">
        <v>152</v>
      </c>
      <c r="T9" s="155" t="s">
        <v>22</v>
      </c>
      <c r="U9" s="155" t="s">
        <v>83</v>
      </c>
      <c r="V9" s="155" t="s">
        <v>111</v>
      </c>
      <c r="W9" s="155" t="s">
        <v>177</v>
      </c>
      <c r="X9" s="156">
        <v>0.4</v>
      </c>
      <c r="Y9" s="156">
        <v>1.0999999999999999E-2</v>
      </c>
      <c r="Z9" s="160"/>
      <c r="AA9" s="88">
        <v>8.0000000000000004E-4</v>
      </c>
      <c r="AB9" s="88">
        <v>0.03</v>
      </c>
      <c r="AC9" s="88"/>
      <c r="AD9" s="43" t="s">
        <v>3015</v>
      </c>
      <c r="AE9" s="44" t="s">
        <v>3118</v>
      </c>
      <c r="AF9" s="46"/>
      <c r="AG9" s="43" t="s">
        <v>3015</v>
      </c>
      <c r="AH9" s="44" t="s">
        <v>3118</v>
      </c>
      <c r="AI9" s="46"/>
      <c r="AJ9" s="46"/>
      <c r="AK9" s="46"/>
      <c r="AL9" s="129">
        <v>11024</v>
      </c>
      <c r="AM9" s="130" t="s">
        <v>173</v>
      </c>
      <c r="AN9" s="131">
        <v>0.04</v>
      </c>
      <c r="AO9" s="132">
        <v>0.03</v>
      </c>
      <c r="AP9" s="131">
        <v>3.15E-2</v>
      </c>
      <c r="AQ9" s="131">
        <v>3.3000000000000002E-2</v>
      </c>
      <c r="AR9" s="131">
        <v>3.4500000000000003E-2</v>
      </c>
      <c r="AS9" s="131">
        <v>3.5999999999999997E-2</v>
      </c>
      <c r="AT9" s="131">
        <v>3.7499999999999999E-2</v>
      </c>
      <c r="AU9" s="131">
        <v>3.9E-2</v>
      </c>
      <c r="AV9" s="131">
        <v>0.04</v>
      </c>
      <c r="AW9" s="131">
        <v>0.04</v>
      </c>
      <c r="AX9" s="131">
        <v>0.04</v>
      </c>
      <c r="AY9" s="131">
        <v>0.04</v>
      </c>
      <c r="AZ9" s="131">
        <v>0.04</v>
      </c>
      <c r="BA9" s="131">
        <v>0.04</v>
      </c>
      <c r="BB9" s="131">
        <v>0.04</v>
      </c>
      <c r="BC9" s="131">
        <v>0.04</v>
      </c>
      <c r="BD9" s="115"/>
      <c r="BE9" s="146">
        <v>11024</v>
      </c>
      <c r="BF9" s="147" t="s">
        <v>173</v>
      </c>
      <c r="BG9" s="137">
        <v>0.02</v>
      </c>
      <c r="BH9" s="131">
        <v>0.02</v>
      </c>
      <c r="BI9" s="131">
        <v>0.02</v>
      </c>
      <c r="BJ9" s="131">
        <v>2.1999999999999999E-2</v>
      </c>
      <c r="BK9" s="131">
        <v>2.1999999999999999E-2</v>
      </c>
      <c r="BL9" s="131">
        <v>2.35E-2</v>
      </c>
      <c r="BM9" s="131">
        <v>2.5000000000000001E-2</v>
      </c>
      <c r="BN9" s="131">
        <v>2.6499999999999999E-2</v>
      </c>
      <c r="BO9" s="131">
        <v>2.8000000000000001E-2</v>
      </c>
      <c r="BP9" s="131">
        <v>0.03</v>
      </c>
      <c r="BQ9" s="131">
        <v>3.2000000000000001E-2</v>
      </c>
      <c r="BR9" s="115"/>
      <c r="BS9" s="146">
        <v>11024</v>
      </c>
      <c r="BT9" s="147" t="s">
        <v>173</v>
      </c>
      <c r="BU9" s="137">
        <v>0.04</v>
      </c>
      <c r="BV9" s="137">
        <v>0.04</v>
      </c>
      <c r="BW9" s="137">
        <v>0.04</v>
      </c>
      <c r="BX9" s="137">
        <v>0.04</v>
      </c>
      <c r="BY9" s="137">
        <v>0.04</v>
      </c>
      <c r="BZ9" s="137">
        <v>0.04</v>
      </c>
      <c r="CA9" s="137">
        <v>0.04</v>
      </c>
      <c r="CB9" s="137">
        <v>0.04</v>
      </c>
      <c r="CC9" s="131">
        <v>0.04</v>
      </c>
      <c r="CD9" s="131">
        <v>0.04</v>
      </c>
      <c r="CE9" s="131">
        <v>0.04</v>
      </c>
      <c r="CF9" s="131">
        <v>0.04</v>
      </c>
      <c r="CG9" s="131">
        <v>0.04</v>
      </c>
      <c r="CH9" s="131">
        <v>0.04</v>
      </c>
      <c r="CI9" s="131">
        <v>0.04</v>
      </c>
      <c r="CJ9" s="131">
        <v>0.04</v>
      </c>
      <c r="CK9" s="131">
        <v>0.04</v>
      </c>
      <c r="CL9" s="131">
        <v>0.04</v>
      </c>
      <c r="CM9" s="131">
        <v>0.04</v>
      </c>
      <c r="CN9" s="131">
        <v>0.04</v>
      </c>
      <c r="CO9" s="131">
        <v>0.04</v>
      </c>
      <c r="CP9" s="131">
        <v>0.04</v>
      </c>
      <c r="CQ9" s="131">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5" t="s">
        <v>163</v>
      </c>
      <c r="R10" s="155" t="s">
        <v>96</v>
      </c>
      <c r="S10" s="155" t="s">
        <v>179</v>
      </c>
      <c r="T10" s="155" t="s">
        <v>24</v>
      </c>
      <c r="U10" s="155" t="s">
        <v>164</v>
      </c>
      <c r="V10" s="155" t="s">
        <v>1</v>
      </c>
      <c r="W10" s="155" t="s">
        <v>364</v>
      </c>
      <c r="X10" s="156">
        <v>0.45</v>
      </c>
      <c r="Y10" s="156">
        <v>1.2E-2</v>
      </c>
      <c r="Z10" s="160"/>
      <c r="AA10" s="88">
        <v>8.9999999999999998E-4</v>
      </c>
      <c r="AB10" s="88"/>
      <c r="AC10" s="88"/>
      <c r="AD10" s="43" t="s">
        <v>3015</v>
      </c>
      <c r="AE10" s="46" t="s">
        <v>1481</v>
      </c>
      <c r="AF10" s="46"/>
      <c r="AG10" s="43" t="s">
        <v>3015</v>
      </c>
      <c r="AH10" s="46" t="s">
        <v>1482</v>
      </c>
      <c r="AI10" s="46"/>
      <c r="AJ10" s="46"/>
      <c r="AK10" s="46"/>
      <c r="AL10" s="126">
        <v>11016</v>
      </c>
      <c r="AM10" s="133" t="s">
        <v>341</v>
      </c>
      <c r="AN10" s="127">
        <v>0.04</v>
      </c>
      <c r="AO10" s="128">
        <v>0.03</v>
      </c>
      <c r="AP10" s="127">
        <v>3.15E-2</v>
      </c>
      <c r="AQ10" s="127">
        <v>3.3000000000000002E-2</v>
      </c>
      <c r="AR10" s="127">
        <v>3.4500000000000003E-2</v>
      </c>
      <c r="AS10" s="127">
        <v>3.5999999999999997E-2</v>
      </c>
      <c r="AT10" s="127">
        <v>3.7499999999999999E-2</v>
      </c>
      <c r="AU10" s="127">
        <v>3.9E-2</v>
      </c>
      <c r="AV10" s="127">
        <v>0.04</v>
      </c>
      <c r="AW10" s="127">
        <v>0.04</v>
      </c>
      <c r="AX10" s="127">
        <v>0.04</v>
      </c>
      <c r="AY10" s="127">
        <v>0.04</v>
      </c>
      <c r="AZ10" s="127">
        <v>0.04</v>
      </c>
      <c r="BA10" s="127">
        <v>0.04</v>
      </c>
      <c r="BB10" s="127">
        <v>0.04</v>
      </c>
      <c r="BC10" s="127">
        <v>0.04</v>
      </c>
      <c r="BD10" s="115"/>
      <c r="BE10" s="148">
        <v>11016</v>
      </c>
      <c r="BF10" s="149" t="s">
        <v>341</v>
      </c>
      <c r="BG10" s="136">
        <v>0.02</v>
      </c>
      <c r="BH10" s="127">
        <v>0.02</v>
      </c>
      <c r="BI10" s="127">
        <v>0.02</v>
      </c>
      <c r="BJ10" s="127">
        <v>2.1999999999999999E-2</v>
      </c>
      <c r="BK10" s="127">
        <v>2.1999999999999999E-2</v>
      </c>
      <c r="BL10" s="127">
        <v>2.35E-2</v>
      </c>
      <c r="BM10" s="127">
        <v>2.5000000000000001E-2</v>
      </c>
      <c r="BN10" s="127">
        <v>2.6499999999999999E-2</v>
      </c>
      <c r="BO10" s="127">
        <v>2.8000000000000001E-2</v>
      </c>
      <c r="BP10" s="127">
        <v>0.03</v>
      </c>
      <c r="BQ10" s="127">
        <v>3.2000000000000001E-2</v>
      </c>
      <c r="BR10" s="115"/>
      <c r="BS10" s="148">
        <v>11016</v>
      </c>
      <c r="BT10" s="149" t="s">
        <v>341</v>
      </c>
      <c r="BU10" s="136">
        <v>0.04</v>
      </c>
      <c r="BV10" s="136">
        <v>0.04</v>
      </c>
      <c r="BW10" s="136">
        <v>0.04</v>
      </c>
      <c r="BX10" s="136">
        <v>0.04</v>
      </c>
      <c r="BY10" s="136">
        <v>0.04</v>
      </c>
      <c r="BZ10" s="136">
        <v>0.04</v>
      </c>
      <c r="CA10" s="136">
        <v>0.04</v>
      </c>
      <c r="CB10" s="136">
        <v>0.04</v>
      </c>
      <c r="CC10" s="127">
        <v>0.04</v>
      </c>
      <c r="CD10" s="127">
        <v>0.04</v>
      </c>
      <c r="CE10" s="127">
        <v>0.04</v>
      </c>
      <c r="CF10" s="127">
        <v>0.04</v>
      </c>
      <c r="CG10" s="127">
        <v>0.04</v>
      </c>
      <c r="CH10" s="127">
        <v>0.04</v>
      </c>
      <c r="CI10" s="127">
        <v>0.04</v>
      </c>
      <c r="CJ10" s="127">
        <v>0.04</v>
      </c>
      <c r="CK10" s="127">
        <v>0.04</v>
      </c>
      <c r="CL10" s="127">
        <v>0.04</v>
      </c>
      <c r="CM10" s="127">
        <v>0.04</v>
      </c>
      <c r="CN10" s="127">
        <v>0.04</v>
      </c>
      <c r="CO10" s="127">
        <v>0.04</v>
      </c>
      <c r="CP10" s="127">
        <v>0.04</v>
      </c>
      <c r="CQ10" s="127">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5"/>
      <c r="R11" s="155" t="s">
        <v>97</v>
      </c>
      <c r="S11" s="155"/>
      <c r="T11" s="155" t="s">
        <v>54</v>
      </c>
      <c r="U11" s="155" t="s">
        <v>84</v>
      </c>
      <c r="V11" s="155" t="s">
        <v>3134</v>
      </c>
      <c r="W11" s="155" t="s">
        <v>172</v>
      </c>
      <c r="X11" s="156">
        <v>0.5</v>
      </c>
      <c r="Y11" s="156">
        <v>1.2999999999999999E-2</v>
      </c>
      <c r="Z11" s="160" t="s">
        <v>3020</v>
      </c>
      <c r="AA11" s="88">
        <v>1E-3</v>
      </c>
      <c r="AB11" s="88"/>
      <c r="AC11" s="88"/>
      <c r="AD11" s="43"/>
      <c r="AE11" s="46" t="s">
        <v>3115</v>
      </c>
      <c r="AF11" s="46"/>
      <c r="AG11" s="43" t="s">
        <v>183</v>
      </c>
      <c r="AH11" s="46" t="s">
        <v>3115</v>
      </c>
      <c r="AI11" s="46"/>
      <c r="AJ11" s="46"/>
      <c r="AK11" s="46"/>
      <c r="AL11" s="129">
        <v>51030</v>
      </c>
      <c r="AM11" s="130" t="s">
        <v>53</v>
      </c>
      <c r="AN11" s="131">
        <v>0.01</v>
      </c>
      <c r="AO11" s="132"/>
      <c r="AP11" s="131"/>
      <c r="AQ11" s="131"/>
      <c r="AR11" s="131"/>
      <c r="AS11" s="131"/>
      <c r="AT11" s="131"/>
      <c r="AU11" s="131"/>
      <c r="AV11" s="131"/>
      <c r="AW11" s="131"/>
      <c r="AX11" s="131"/>
      <c r="AY11" s="131"/>
      <c r="AZ11" s="131"/>
      <c r="BA11" s="131"/>
      <c r="BB11" s="131"/>
      <c r="BC11" s="131"/>
      <c r="BD11" s="115"/>
      <c r="BE11" s="146">
        <v>51030</v>
      </c>
      <c r="BF11" s="147" t="s">
        <v>53</v>
      </c>
      <c r="BG11" s="137"/>
      <c r="BH11" s="131"/>
      <c r="BI11" s="131"/>
      <c r="BJ11" s="131"/>
      <c r="BK11" s="131"/>
      <c r="BL11" s="131"/>
      <c r="BM11" s="131"/>
      <c r="BN11" s="131"/>
      <c r="BO11" s="131"/>
      <c r="BP11" s="131"/>
      <c r="BQ11" s="131"/>
      <c r="BR11" s="115"/>
      <c r="BS11" s="146">
        <v>51030</v>
      </c>
      <c r="BT11" s="147" t="s">
        <v>53</v>
      </c>
      <c r="BU11" s="174"/>
      <c r="BV11" s="174"/>
      <c r="BW11" s="174"/>
      <c r="BX11" s="174"/>
      <c r="BY11" s="174"/>
      <c r="BZ11" s="174"/>
      <c r="CA11" s="174"/>
      <c r="CB11" s="137"/>
      <c r="CC11" s="131"/>
      <c r="CD11" s="131"/>
      <c r="CE11" s="131"/>
      <c r="CF11" s="131"/>
      <c r="CG11" s="131"/>
      <c r="CH11" s="131"/>
      <c r="CI11" s="131"/>
      <c r="CJ11" s="131"/>
      <c r="CK11" s="131"/>
      <c r="CL11" s="131"/>
      <c r="CM11" s="131"/>
      <c r="CN11" s="131"/>
      <c r="CO11" s="131"/>
      <c r="CP11" s="131"/>
      <c r="CQ11" s="131"/>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5"/>
      <c r="R12" s="155" t="s">
        <v>98</v>
      </c>
      <c r="S12" s="155"/>
      <c r="T12" s="155" t="s">
        <v>63</v>
      </c>
      <c r="U12" s="155"/>
      <c r="V12" s="155" t="s">
        <v>3135</v>
      </c>
      <c r="W12" s="155" t="s">
        <v>173</v>
      </c>
      <c r="X12" s="156">
        <v>0.55000000000000004</v>
      </c>
      <c r="Y12" s="156">
        <v>1.4E-2</v>
      </c>
      <c r="Z12" s="160" t="s">
        <v>3019</v>
      </c>
      <c r="AA12" s="88"/>
      <c r="AB12" s="88"/>
      <c r="AC12" s="88"/>
      <c r="AD12" s="43" t="s">
        <v>1488</v>
      </c>
      <c r="AE12" s="43" t="s">
        <v>1489</v>
      </c>
      <c r="AF12" s="46"/>
      <c r="AG12" s="43" t="s">
        <v>1488</v>
      </c>
      <c r="AH12" s="43" t="s">
        <v>1489</v>
      </c>
      <c r="AI12" s="46"/>
      <c r="AJ12" s="46"/>
      <c r="AK12" s="46"/>
      <c r="AL12" s="126">
        <v>51024</v>
      </c>
      <c r="AM12" s="133" t="s">
        <v>618</v>
      </c>
      <c r="AN12" s="127">
        <v>0.01</v>
      </c>
      <c r="AO12" s="128"/>
      <c r="AP12" s="127"/>
      <c r="AQ12" s="127"/>
      <c r="AR12" s="127"/>
      <c r="AS12" s="127"/>
      <c r="AT12" s="127"/>
      <c r="AU12" s="127"/>
      <c r="AV12" s="127"/>
      <c r="AW12" s="127"/>
      <c r="AX12" s="127"/>
      <c r="AY12" s="127"/>
      <c r="AZ12" s="127"/>
      <c r="BA12" s="127"/>
      <c r="BB12" s="127"/>
      <c r="BC12" s="127"/>
      <c r="BD12" s="115"/>
      <c r="BE12" s="148">
        <v>51024</v>
      </c>
      <c r="BF12" s="149" t="s">
        <v>618</v>
      </c>
      <c r="BG12" s="136"/>
      <c r="BH12" s="127"/>
      <c r="BI12" s="127"/>
      <c r="BJ12" s="127"/>
      <c r="BK12" s="127"/>
      <c r="BL12" s="127"/>
      <c r="BM12" s="127"/>
      <c r="BN12" s="127"/>
      <c r="BO12" s="127"/>
      <c r="BP12" s="127"/>
      <c r="BQ12" s="127"/>
      <c r="BR12" s="115"/>
      <c r="BS12" s="148">
        <v>51024</v>
      </c>
      <c r="BT12" s="149" t="s">
        <v>618</v>
      </c>
      <c r="BU12" s="175"/>
      <c r="BV12" s="175"/>
      <c r="BW12" s="175"/>
      <c r="BX12" s="175"/>
      <c r="BY12" s="175"/>
      <c r="BZ12" s="175"/>
      <c r="CA12" s="175"/>
      <c r="CB12" s="136"/>
      <c r="CC12" s="127"/>
      <c r="CD12" s="127"/>
      <c r="CE12" s="127"/>
      <c r="CF12" s="127"/>
      <c r="CG12" s="127"/>
      <c r="CH12" s="127"/>
      <c r="CI12" s="127"/>
      <c r="CJ12" s="127"/>
      <c r="CK12" s="127"/>
      <c r="CL12" s="127"/>
      <c r="CM12" s="127"/>
      <c r="CN12" s="127"/>
      <c r="CO12" s="127"/>
      <c r="CP12" s="127"/>
      <c r="CQ12" s="127"/>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5" t="s">
        <v>108</v>
      </c>
      <c r="R13" s="155" t="s">
        <v>99</v>
      </c>
      <c r="S13" s="172"/>
      <c r="T13" s="172"/>
      <c r="U13" s="172"/>
      <c r="V13" s="172"/>
      <c r="W13" s="155" t="s">
        <v>341</v>
      </c>
      <c r="X13" s="157">
        <v>0.6</v>
      </c>
      <c r="Y13" s="157">
        <v>1.4999999999999999E-2</v>
      </c>
      <c r="Z13" s="173" t="s">
        <v>3137</v>
      </c>
      <c r="AA13" s="88"/>
      <c r="AB13" s="87"/>
      <c r="AC13" s="88"/>
      <c r="AD13" s="63" t="s">
        <v>3023</v>
      </c>
      <c r="AE13" s="63" t="s">
        <v>3031</v>
      </c>
      <c r="AF13" s="45"/>
      <c r="AG13" s="63" t="s">
        <v>3024</v>
      </c>
      <c r="AH13" s="63" t="s">
        <v>3028</v>
      </c>
      <c r="AI13" s="46"/>
      <c r="AJ13" s="46"/>
      <c r="AK13" s="46"/>
      <c r="AL13" s="129">
        <v>10516</v>
      </c>
      <c r="AM13" s="130" t="s">
        <v>316</v>
      </c>
      <c r="AN13" s="131">
        <v>0.01</v>
      </c>
      <c r="AO13" s="132"/>
      <c r="AP13" s="131"/>
      <c r="AQ13" s="131"/>
      <c r="AR13" s="131"/>
      <c r="AS13" s="131"/>
      <c r="AT13" s="131"/>
      <c r="AU13" s="131"/>
      <c r="AV13" s="131"/>
      <c r="AW13" s="131"/>
      <c r="AX13" s="131"/>
      <c r="AY13" s="131"/>
      <c r="AZ13" s="131"/>
      <c r="BA13" s="131"/>
      <c r="BB13" s="131"/>
      <c r="BC13" s="131"/>
      <c r="BD13" s="115"/>
      <c r="BE13" s="146">
        <v>10516</v>
      </c>
      <c r="BF13" s="147" t="s">
        <v>316</v>
      </c>
      <c r="BG13" s="137"/>
      <c r="BH13" s="131"/>
      <c r="BI13" s="131"/>
      <c r="BJ13" s="131"/>
      <c r="BK13" s="131"/>
      <c r="BL13" s="131"/>
      <c r="BM13" s="131"/>
      <c r="BN13" s="131"/>
      <c r="BO13" s="131"/>
      <c r="BP13" s="131"/>
      <c r="BQ13" s="131"/>
      <c r="BR13" s="115"/>
      <c r="BS13" s="146">
        <v>10516</v>
      </c>
      <c r="BT13" s="147" t="s">
        <v>316</v>
      </c>
      <c r="BU13" s="174"/>
      <c r="BV13" s="174"/>
      <c r="BW13" s="174"/>
      <c r="BX13" s="174"/>
      <c r="BY13" s="174"/>
      <c r="BZ13" s="174"/>
      <c r="CA13" s="174"/>
      <c r="CB13" s="137"/>
      <c r="CC13" s="131"/>
      <c r="CD13" s="131"/>
      <c r="CE13" s="131"/>
      <c r="CF13" s="131"/>
      <c r="CG13" s="131"/>
      <c r="CH13" s="131"/>
      <c r="CI13" s="131"/>
      <c r="CJ13" s="131"/>
      <c r="CK13" s="131"/>
      <c r="CL13" s="131"/>
      <c r="CM13" s="131"/>
      <c r="CN13" s="131"/>
      <c r="CO13" s="131"/>
      <c r="CP13" s="131"/>
      <c r="CQ13" s="131"/>
    </row>
    <row r="14" spans="1:95" ht="48" customHeight="1" thickTop="1" thickBot="1" x14ac:dyDescent="0.3">
      <c r="A14" s="31">
        <v>10027</v>
      </c>
      <c r="B14" s="49" t="s">
        <v>196</v>
      </c>
      <c r="C14" s="32"/>
      <c r="D14" s="33">
        <v>13.25</v>
      </c>
      <c r="E14" s="34">
        <v>1</v>
      </c>
      <c r="F14" s="35" t="s">
        <v>0</v>
      </c>
      <c r="G14" s="48" t="s">
        <v>1512</v>
      </c>
      <c r="H14" s="4"/>
      <c r="I14" s="4"/>
      <c r="Q14" s="155" t="s">
        <v>113</v>
      </c>
      <c r="R14" s="155" t="s">
        <v>100</v>
      </c>
      <c r="S14" s="155"/>
      <c r="T14" s="155"/>
      <c r="U14" s="155"/>
      <c r="V14" s="155"/>
      <c r="W14" s="155"/>
      <c r="X14" s="156">
        <v>0.65</v>
      </c>
      <c r="Y14" s="88">
        <v>1.6E-2</v>
      </c>
      <c r="Z14" s="160" t="s">
        <v>3138</v>
      </c>
      <c r="AA14" s="88"/>
      <c r="AB14" s="88"/>
      <c r="AC14" s="88"/>
      <c r="AD14" s="63" t="s">
        <v>3024</v>
      </c>
      <c r="AE14" s="63" t="s">
        <v>3032</v>
      </c>
      <c r="AF14" s="45"/>
      <c r="AG14" s="63" t="s">
        <v>3030</v>
      </c>
      <c r="AH14" s="44" t="s">
        <v>3029</v>
      </c>
      <c r="AI14" s="46"/>
      <c r="AJ14" s="46"/>
      <c r="AK14" s="46"/>
      <c r="AL14" s="126">
        <v>51025</v>
      </c>
      <c r="AM14" s="133" t="s">
        <v>619</v>
      </c>
      <c r="AN14" s="127">
        <v>0.01</v>
      </c>
      <c r="AO14" s="128"/>
      <c r="AP14" s="127"/>
      <c r="AQ14" s="127"/>
      <c r="AR14" s="127"/>
      <c r="AS14" s="127"/>
      <c r="AT14" s="127"/>
      <c r="AU14" s="127"/>
      <c r="AV14" s="127"/>
      <c r="AW14" s="127"/>
      <c r="AX14" s="127"/>
      <c r="AY14" s="127"/>
      <c r="AZ14" s="127"/>
      <c r="BA14" s="127"/>
      <c r="BB14" s="127"/>
      <c r="BC14" s="127"/>
      <c r="BD14" s="115"/>
      <c r="BE14" s="148">
        <v>51025</v>
      </c>
      <c r="BF14" s="149" t="s">
        <v>619</v>
      </c>
      <c r="BG14" s="136"/>
      <c r="BH14" s="127"/>
      <c r="BI14" s="127"/>
      <c r="BJ14" s="127"/>
      <c r="BK14" s="127"/>
      <c r="BL14" s="127"/>
      <c r="BM14" s="127"/>
      <c r="BN14" s="127"/>
      <c r="BO14" s="127"/>
      <c r="BP14" s="127"/>
      <c r="BQ14" s="127"/>
      <c r="BR14" s="115"/>
      <c r="BS14" s="148">
        <v>51025</v>
      </c>
      <c r="BT14" s="149" t="s">
        <v>619</v>
      </c>
      <c r="BU14" s="175"/>
      <c r="BV14" s="175"/>
      <c r="BW14" s="175"/>
      <c r="BX14" s="175"/>
      <c r="BY14" s="175"/>
      <c r="BZ14" s="175"/>
      <c r="CA14" s="175"/>
      <c r="CB14" s="136"/>
      <c r="CC14" s="127"/>
      <c r="CD14" s="127"/>
      <c r="CE14" s="127"/>
      <c r="CF14" s="127"/>
      <c r="CG14" s="127"/>
      <c r="CH14" s="127"/>
      <c r="CI14" s="127"/>
      <c r="CJ14" s="127"/>
      <c r="CK14" s="127"/>
      <c r="CL14" s="127"/>
      <c r="CM14" s="127"/>
      <c r="CN14" s="127"/>
      <c r="CO14" s="127"/>
      <c r="CP14" s="127"/>
      <c r="CQ14" s="127"/>
    </row>
    <row r="15" spans="1:95" ht="48" customHeight="1" thickTop="1" thickBot="1" x14ac:dyDescent="0.3">
      <c r="A15" s="31">
        <v>10028</v>
      </c>
      <c r="B15" s="49" t="s">
        <v>197</v>
      </c>
      <c r="C15" s="32"/>
      <c r="D15" s="33">
        <v>7.4</v>
      </c>
      <c r="E15" s="34">
        <v>1</v>
      </c>
      <c r="F15" s="35" t="s">
        <v>0</v>
      </c>
      <c r="G15" s="48" t="s">
        <v>1513</v>
      </c>
      <c r="H15" s="4"/>
      <c r="I15" s="4"/>
      <c r="Q15" s="155" t="s">
        <v>109</v>
      </c>
      <c r="R15" s="155" t="s">
        <v>101</v>
      </c>
      <c r="S15" s="155"/>
      <c r="T15" s="155"/>
      <c r="U15" s="155"/>
      <c r="V15" s="155"/>
      <c r="W15" s="155"/>
      <c r="X15" s="156">
        <v>0.7</v>
      </c>
      <c r="Y15" s="88">
        <v>1.7000000000000001E-2</v>
      </c>
      <c r="Z15" s="160" t="s">
        <v>3139</v>
      </c>
      <c r="AA15" s="88"/>
      <c r="AB15" s="88"/>
      <c r="AC15" s="88"/>
      <c r="AD15" s="63" t="s">
        <v>3026</v>
      </c>
      <c r="AE15" s="63" t="s">
        <v>3025</v>
      </c>
      <c r="AF15" s="45"/>
      <c r="AG15" s="44" t="s">
        <v>3027</v>
      </c>
      <c r="AH15" s="44" t="s">
        <v>183</v>
      </c>
      <c r="AI15" s="46"/>
      <c r="AJ15" s="46"/>
      <c r="AK15" s="46"/>
      <c r="AL15" s="129">
        <v>10517</v>
      </c>
      <c r="AM15" s="130" t="s">
        <v>317</v>
      </c>
      <c r="AN15" s="131">
        <v>0.01</v>
      </c>
      <c r="AO15" s="132"/>
      <c r="AP15" s="131"/>
      <c r="AQ15" s="131"/>
      <c r="AR15" s="131"/>
      <c r="AS15" s="131"/>
      <c r="AT15" s="131"/>
      <c r="AU15" s="131"/>
      <c r="AV15" s="131"/>
      <c r="AW15" s="131"/>
      <c r="AX15" s="131"/>
      <c r="AY15" s="131"/>
      <c r="AZ15" s="131"/>
      <c r="BA15" s="131"/>
      <c r="BB15" s="131"/>
      <c r="BC15" s="131"/>
      <c r="BD15" s="115"/>
      <c r="BE15" s="146">
        <v>10517</v>
      </c>
      <c r="BF15" s="147" t="s">
        <v>317</v>
      </c>
      <c r="BG15" s="137"/>
      <c r="BH15" s="131"/>
      <c r="BI15" s="131"/>
      <c r="BJ15" s="131"/>
      <c r="BK15" s="131"/>
      <c r="BL15" s="131"/>
      <c r="BM15" s="131"/>
      <c r="BN15" s="131"/>
      <c r="BO15" s="131"/>
      <c r="BP15" s="131"/>
      <c r="BQ15" s="131"/>
      <c r="BR15" s="115"/>
      <c r="BS15" s="146">
        <v>10517</v>
      </c>
      <c r="BT15" s="147" t="s">
        <v>317</v>
      </c>
      <c r="BU15" s="174"/>
      <c r="BV15" s="174"/>
      <c r="BW15" s="174"/>
      <c r="BX15" s="174"/>
      <c r="BY15" s="174"/>
      <c r="BZ15" s="174"/>
      <c r="CA15" s="174"/>
      <c r="CB15" s="137"/>
      <c r="CC15" s="131"/>
      <c r="CD15" s="131"/>
      <c r="CE15" s="131"/>
      <c r="CF15" s="131"/>
      <c r="CG15" s="131"/>
      <c r="CH15" s="131"/>
      <c r="CI15" s="131"/>
      <c r="CJ15" s="131"/>
      <c r="CK15" s="131"/>
      <c r="CL15" s="131"/>
      <c r="CM15" s="131"/>
      <c r="CN15" s="131"/>
      <c r="CO15" s="131"/>
      <c r="CP15" s="131"/>
      <c r="CQ15" s="131"/>
    </row>
    <row r="16" spans="1:95" ht="48" customHeight="1" thickTop="1" thickBot="1" x14ac:dyDescent="0.3">
      <c r="A16" s="31">
        <v>10029</v>
      </c>
      <c r="B16" s="49" t="s">
        <v>198</v>
      </c>
      <c r="C16" s="32"/>
      <c r="D16" s="33">
        <v>11.4</v>
      </c>
      <c r="E16" s="34">
        <v>1</v>
      </c>
      <c r="F16" s="35" t="s">
        <v>0</v>
      </c>
      <c r="G16" s="48" t="s">
        <v>1514</v>
      </c>
      <c r="H16" s="4"/>
      <c r="I16" s="4"/>
      <c r="Q16" s="155" t="s">
        <v>110</v>
      </c>
      <c r="R16" s="155" t="s">
        <v>102</v>
      </c>
      <c r="S16" s="155"/>
      <c r="T16" s="155"/>
      <c r="U16" s="155"/>
      <c r="V16" s="155"/>
      <c r="W16" s="155"/>
      <c r="X16" s="156">
        <v>0.8</v>
      </c>
      <c r="Y16" s="156">
        <v>1.7999999999999999E-2</v>
      </c>
      <c r="Z16" s="160" t="s">
        <v>3140</v>
      </c>
      <c r="AA16" s="88"/>
      <c r="AB16" s="88"/>
      <c r="AC16" s="88"/>
      <c r="AD16" s="63" t="s">
        <v>3030</v>
      </c>
      <c r="AE16" s="62" t="s">
        <v>183</v>
      </c>
      <c r="AF16" s="45"/>
      <c r="AG16" s="44" t="s">
        <v>183</v>
      </c>
      <c r="AH16" s="44" t="s">
        <v>183</v>
      </c>
      <c r="AI16" s="46"/>
      <c r="AJ16" s="46"/>
      <c r="AK16" s="46"/>
      <c r="AL16" s="126">
        <v>51022</v>
      </c>
      <c r="AM16" s="133" t="s">
        <v>616</v>
      </c>
      <c r="AN16" s="127">
        <v>0.01</v>
      </c>
      <c r="AO16" s="128"/>
      <c r="AP16" s="127"/>
      <c r="AQ16" s="127"/>
      <c r="AR16" s="127"/>
      <c r="AS16" s="127"/>
      <c r="AT16" s="127"/>
      <c r="AU16" s="127"/>
      <c r="AV16" s="127"/>
      <c r="AW16" s="127"/>
      <c r="AX16" s="127"/>
      <c r="AY16" s="127"/>
      <c r="AZ16" s="127"/>
      <c r="BA16" s="127"/>
      <c r="BB16" s="127"/>
      <c r="BC16" s="127"/>
      <c r="BD16" s="115"/>
      <c r="BE16" s="148">
        <v>51022</v>
      </c>
      <c r="BF16" s="149" t="s">
        <v>616</v>
      </c>
      <c r="BG16" s="136"/>
      <c r="BH16" s="127"/>
      <c r="BI16" s="127"/>
      <c r="BJ16" s="127"/>
      <c r="BK16" s="127"/>
      <c r="BL16" s="127"/>
      <c r="BM16" s="127"/>
      <c r="BN16" s="127"/>
      <c r="BO16" s="127"/>
      <c r="BP16" s="127"/>
      <c r="BQ16" s="127"/>
      <c r="BR16" s="115"/>
      <c r="BS16" s="148">
        <v>51022</v>
      </c>
      <c r="BT16" s="149" t="s">
        <v>616</v>
      </c>
      <c r="BU16" s="175"/>
      <c r="BV16" s="175"/>
      <c r="BW16" s="175"/>
      <c r="BX16" s="175"/>
      <c r="BY16" s="175"/>
      <c r="BZ16" s="175"/>
      <c r="CA16" s="175"/>
      <c r="CB16" s="136"/>
      <c r="CC16" s="127"/>
      <c r="CD16" s="127"/>
      <c r="CE16" s="127"/>
      <c r="CF16" s="127"/>
      <c r="CG16" s="127"/>
      <c r="CH16" s="127"/>
      <c r="CI16" s="127"/>
      <c r="CJ16" s="127"/>
      <c r="CK16" s="127"/>
      <c r="CL16" s="127"/>
      <c r="CM16" s="127"/>
      <c r="CN16" s="127"/>
      <c r="CO16" s="127"/>
      <c r="CP16" s="127"/>
      <c r="CQ16" s="127"/>
    </row>
    <row r="17" spans="1:95" ht="48" customHeight="1" thickTop="1" thickBot="1" x14ac:dyDescent="0.3">
      <c r="A17" s="31">
        <v>10030</v>
      </c>
      <c r="B17" s="49" t="s">
        <v>199</v>
      </c>
      <c r="C17" s="32"/>
      <c r="D17" s="33">
        <v>9.9</v>
      </c>
      <c r="E17" s="34">
        <v>1</v>
      </c>
      <c r="F17" s="35" t="s">
        <v>0</v>
      </c>
      <c r="G17" s="48" t="s">
        <v>1515</v>
      </c>
      <c r="H17" s="4"/>
      <c r="I17" s="4"/>
      <c r="Q17" s="155" t="s">
        <v>112</v>
      </c>
      <c r="R17" s="155" t="s">
        <v>103</v>
      </c>
      <c r="S17" s="172"/>
      <c r="T17" s="172"/>
      <c r="U17" s="172"/>
      <c r="V17" s="172"/>
      <c r="W17" s="155"/>
      <c r="X17" s="156">
        <v>0.85</v>
      </c>
      <c r="Y17" s="156">
        <v>1.9E-2</v>
      </c>
      <c r="Z17" s="173" t="s">
        <v>3137</v>
      </c>
      <c r="AA17" s="88"/>
      <c r="AB17" s="87"/>
      <c r="AC17" s="88"/>
      <c r="AD17" s="62"/>
      <c r="AE17" s="43"/>
      <c r="AF17" s="46"/>
      <c r="AG17" s="43"/>
      <c r="AH17" s="43"/>
      <c r="AI17" s="46"/>
      <c r="AJ17" s="46"/>
      <c r="AK17" s="46"/>
      <c r="AL17" s="129">
        <v>51011</v>
      </c>
      <c r="AM17" s="130" t="s">
        <v>611</v>
      </c>
      <c r="AN17" s="131">
        <v>3.0000000000000001E-3</v>
      </c>
      <c r="AO17" s="132"/>
      <c r="AP17" s="131"/>
      <c r="AQ17" s="131"/>
      <c r="AR17" s="131"/>
      <c r="AS17" s="131"/>
      <c r="AT17" s="131"/>
      <c r="AU17" s="131"/>
      <c r="AV17" s="131"/>
      <c r="AW17" s="131"/>
      <c r="AX17" s="131"/>
      <c r="AY17" s="131"/>
      <c r="AZ17" s="131"/>
      <c r="BA17" s="131"/>
      <c r="BB17" s="131"/>
      <c r="BC17" s="131"/>
      <c r="BD17" s="115"/>
      <c r="BE17" s="146">
        <v>51011</v>
      </c>
      <c r="BF17" s="147" t="s">
        <v>611</v>
      </c>
      <c r="BG17" s="137"/>
      <c r="BH17" s="131"/>
      <c r="BI17" s="131"/>
      <c r="BJ17" s="131"/>
      <c r="BK17" s="131"/>
      <c r="BL17" s="131"/>
      <c r="BM17" s="131"/>
      <c r="BN17" s="131"/>
      <c r="BO17" s="131"/>
      <c r="BP17" s="131"/>
      <c r="BQ17" s="131"/>
      <c r="BR17" s="115"/>
      <c r="BS17" s="146">
        <v>51011</v>
      </c>
      <c r="BT17" s="147" t="s">
        <v>611</v>
      </c>
      <c r="BU17" s="174"/>
      <c r="BV17" s="174"/>
      <c r="BW17" s="174"/>
      <c r="BX17" s="174"/>
      <c r="BY17" s="174"/>
      <c r="BZ17" s="174"/>
      <c r="CA17" s="174"/>
      <c r="CB17" s="137"/>
      <c r="CC17" s="131"/>
      <c r="CD17" s="131"/>
      <c r="CE17" s="131"/>
      <c r="CF17" s="131"/>
      <c r="CG17" s="131"/>
      <c r="CH17" s="131"/>
      <c r="CI17" s="131"/>
      <c r="CJ17" s="131"/>
      <c r="CK17" s="131"/>
      <c r="CL17" s="131"/>
      <c r="CM17" s="131"/>
      <c r="CN17" s="131"/>
      <c r="CO17" s="131"/>
      <c r="CP17" s="131"/>
      <c r="CQ17" s="131"/>
    </row>
    <row r="18" spans="1:95" ht="48" customHeight="1" thickTop="1" thickBot="1" x14ac:dyDescent="0.3">
      <c r="A18" s="31">
        <v>10031</v>
      </c>
      <c r="B18" s="49" t="s">
        <v>200</v>
      </c>
      <c r="C18" s="32"/>
      <c r="D18" s="33">
        <v>15.25</v>
      </c>
      <c r="E18" s="34">
        <v>1</v>
      </c>
      <c r="F18" s="35" t="s">
        <v>0</v>
      </c>
      <c r="G18" s="48" t="s">
        <v>1516</v>
      </c>
      <c r="H18" s="4"/>
      <c r="I18" s="4"/>
      <c r="Q18" s="155" t="s">
        <v>111</v>
      </c>
      <c r="R18" s="155" t="s">
        <v>153</v>
      </c>
      <c r="S18" s="155"/>
      <c r="T18" s="155"/>
      <c r="U18" s="155"/>
      <c r="V18" s="155"/>
      <c r="W18" s="155"/>
      <c r="X18" s="156">
        <v>0.9</v>
      </c>
      <c r="Y18" s="88">
        <v>0.02</v>
      </c>
      <c r="Z18" s="160" t="s">
        <v>3141</v>
      </c>
      <c r="AA18" s="88"/>
      <c r="AB18" s="88"/>
      <c r="AC18" s="87"/>
      <c r="AL18" s="126">
        <v>51029</v>
      </c>
      <c r="AM18" s="133" t="s">
        <v>623</v>
      </c>
      <c r="AN18" s="127">
        <v>0.01</v>
      </c>
      <c r="AO18" s="128"/>
      <c r="AP18" s="127"/>
      <c r="AQ18" s="127"/>
      <c r="AR18" s="127"/>
      <c r="AS18" s="127"/>
      <c r="AT18" s="127"/>
      <c r="AU18" s="127"/>
      <c r="AV18" s="127"/>
      <c r="AW18" s="127"/>
      <c r="AX18" s="127"/>
      <c r="AY18" s="127"/>
      <c r="AZ18" s="127"/>
      <c r="BA18" s="127"/>
      <c r="BB18" s="127"/>
      <c r="BC18" s="127"/>
      <c r="BD18" s="115"/>
      <c r="BE18" s="148">
        <v>51029</v>
      </c>
      <c r="BF18" s="149" t="s">
        <v>623</v>
      </c>
      <c r="BG18" s="136"/>
      <c r="BH18" s="127"/>
      <c r="BI18" s="127"/>
      <c r="BJ18" s="127"/>
      <c r="BK18" s="127"/>
      <c r="BL18" s="127"/>
      <c r="BM18" s="127"/>
      <c r="BN18" s="127"/>
      <c r="BO18" s="127"/>
      <c r="BP18" s="127"/>
      <c r="BQ18" s="127"/>
      <c r="BR18" s="115"/>
      <c r="BS18" s="148">
        <v>51029</v>
      </c>
      <c r="BT18" s="149" t="s">
        <v>623</v>
      </c>
      <c r="BU18" s="175"/>
      <c r="BV18" s="175"/>
      <c r="BW18" s="175"/>
      <c r="BX18" s="175"/>
      <c r="BY18" s="175"/>
      <c r="BZ18" s="175"/>
      <c r="CA18" s="175"/>
      <c r="CB18" s="136"/>
      <c r="CC18" s="127"/>
      <c r="CD18" s="127"/>
      <c r="CE18" s="127"/>
      <c r="CF18" s="127"/>
      <c r="CG18" s="127"/>
      <c r="CH18" s="127"/>
      <c r="CI18" s="127"/>
      <c r="CJ18" s="127"/>
      <c r="CK18" s="127"/>
      <c r="CL18" s="127"/>
      <c r="CM18" s="127"/>
      <c r="CN18" s="127"/>
      <c r="CO18" s="127"/>
      <c r="CP18" s="127"/>
      <c r="CQ18" s="127"/>
    </row>
    <row r="19" spans="1:95" ht="48" customHeight="1" thickTop="1" thickBot="1" x14ac:dyDescent="0.3">
      <c r="A19" s="31">
        <v>10033</v>
      </c>
      <c r="B19" s="49" t="s">
        <v>201</v>
      </c>
      <c r="C19" s="32"/>
      <c r="D19" s="33">
        <v>7.9</v>
      </c>
      <c r="E19" s="34">
        <v>1</v>
      </c>
      <c r="F19" s="35" t="s">
        <v>0</v>
      </c>
      <c r="G19" s="48" t="s">
        <v>1517</v>
      </c>
      <c r="H19" s="4"/>
      <c r="I19" s="4"/>
      <c r="Q19" s="155" t="s">
        <v>145</v>
      </c>
      <c r="R19" s="155" t="s">
        <v>154</v>
      </c>
      <c r="S19" s="155"/>
      <c r="T19" s="155"/>
      <c r="U19" s="155"/>
      <c r="V19" s="155"/>
      <c r="W19" s="155"/>
      <c r="X19" s="156">
        <v>0.95</v>
      </c>
      <c r="Y19" s="88">
        <v>2.1000000000000001E-2</v>
      </c>
      <c r="Z19" s="160" t="s">
        <v>3142</v>
      </c>
      <c r="AA19" s="88"/>
      <c r="AB19" s="88"/>
      <c r="AC19" s="87"/>
      <c r="AL19" s="129">
        <v>51021</v>
      </c>
      <c r="AM19" s="130" t="s">
        <v>615</v>
      </c>
      <c r="AN19" s="131">
        <v>0.01</v>
      </c>
      <c r="AO19" s="132"/>
      <c r="AP19" s="131"/>
      <c r="AQ19" s="131"/>
      <c r="AR19" s="131"/>
      <c r="AS19" s="131"/>
      <c r="AT19" s="131"/>
      <c r="AU19" s="131"/>
      <c r="AV19" s="131"/>
      <c r="AW19" s="131"/>
      <c r="AX19" s="131"/>
      <c r="AY19" s="131"/>
      <c r="AZ19" s="131"/>
      <c r="BA19" s="131"/>
      <c r="BB19" s="131"/>
      <c r="BC19" s="131"/>
      <c r="BD19" s="115"/>
      <c r="BE19" s="146">
        <v>51021</v>
      </c>
      <c r="BF19" s="147" t="s">
        <v>615</v>
      </c>
      <c r="BG19" s="137"/>
      <c r="BH19" s="131"/>
      <c r="BI19" s="131"/>
      <c r="BJ19" s="131"/>
      <c r="BK19" s="131"/>
      <c r="BL19" s="131"/>
      <c r="BM19" s="131"/>
      <c r="BN19" s="131"/>
      <c r="BO19" s="131"/>
      <c r="BP19" s="131"/>
      <c r="BQ19" s="131"/>
      <c r="BR19" s="115"/>
      <c r="BS19" s="146">
        <v>51021</v>
      </c>
      <c r="BT19" s="147" t="s">
        <v>615</v>
      </c>
      <c r="BU19" s="174"/>
      <c r="BV19" s="174"/>
      <c r="BW19" s="174"/>
      <c r="BX19" s="174"/>
      <c r="BY19" s="174"/>
      <c r="BZ19" s="174"/>
      <c r="CA19" s="174"/>
      <c r="CB19" s="137"/>
      <c r="CC19" s="131"/>
      <c r="CD19" s="131"/>
      <c r="CE19" s="131"/>
      <c r="CF19" s="131"/>
      <c r="CG19" s="131"/>
      <c r="CH19" s="131"/>
      <c r="CI19" s="131"/>
      <c r="CJ19" s="131"/>
      <c r="CK19" s="131"/>
      <c r="CL19" s="131"/>
      <c r="CM19" s="131"/>
      <c r="CN19" s="131"/>
      <c r="CO19" s="131"/>
      <c r="CP19" s="131"/>
      <c r="CQ19" s="131"/>
    </row>
    <row r="20" spans="1:95" ht="48" customHeight="1" thickTop="1" thickBot="1" x14ac:dyDescent="0.3">
      <c r="A20" s="31">
        <v>10034</v>
      </c>
      <c r="B20" s="49" t="s">
        <v>202</v>
      </c>
      <c r="C20" s="32"/>
      <c r="D20" s="33">
        <v>1.49</v>
      </c>
      <c r="E20" s="34">
        <v>1</v>
      </c>
      <c r="F20" s="35" t="s">
        <v>0</v>
      </c>
      <c r="G20" s="48" t="s">
        <v>1518</v>
      </c>
      <c r="H20" s="4"/>
      <c r="I20" s="4"/>
      <c r="Q20" s="155" t="s">
        <v>162</v>
      </c>
      <c r="R20" s="155" t="s">
        <v>161</v>
      </c>
      <c r="S20" s="155"/>
      <c r="T20" s="155"/>
      <c r="U20" s="155"/>
      <c r="V20" s="155"/>
      <c r="W20" s="155"/>
      <c r="X20" s="156">
        <v>1</v>
      </c>
      <c r="Y20" s="88">
        <v>2.1999999999999999E-2</v>
      </c>
      <c r="Z20" s="160" t="s">
        <v>3143</v>
      </c>
      <c r="AA20" s="88"/>
      <c r="AB20" s="87"/>
      <c r="AC20" s="87"/>
      <c r="AL20" s="126">
        <v>51020</v>
      </c>
      <c r="AM20" s="133" t="s">
        <v>614</v>
      </c>
      <c r="AN20" s="127">
        <v>3.0000000000000001E-3</v>
      </c>
      <c r="AO20" s="128"/>
      <c r="AP20" s="127"/>
      <c r="AQ20" s="127"/>
      <c r="AR20" s="127"/>
      <c r="AS20" s="127"/>
      <c r="AT20" s="127"/>
      <c r="AU20" s="127"/>
      <c r="AV20" s="127"/>
      <c r="AW20" s="127"/>
      <c r="AX20" s="127"/>
      <c r="AY20" s="127"/>
      <c r="AZ20" s="127"/>
      <c r="BA20" s="127"/>
      <c r="BB20" s="127"/>
      <c r="BC20" s="127"/>
      <c r="BD20" s="115"/>
      <c r="BE20" s="148">
        <v>51020</v>
      </c>
      <c r="BF20" s="149" t="s">
        <v>614</v>
      </c>
      <c r="BG20" s="136"/>
      <c r="BH20" s="127"/>
      <c r="BI20" s="127"/>
      <c r="BJ20" s="127"/>
      <c r="BK20" s="127"/>
      <c r="BL20" s="127"/>
      <c r="BM20" s="127"/>
      <c r="BN20" s="127"/>
      <c r="BO20" s="127"/>
      <c r="BP20" s="127"/>
      <c r="BQ20" s="127"/>
      <c r="BR20" s="115"/>
      <c r="BS20" s="148">
        <v>51020</v>
      </c>
      <c r="BT20" s="149" t="s">
        <v>614</v>
      </c>
      <c r="BU20" s="175"/>
      <c r="BV20" s="175"/>
      <c r="BW20" s="175"/>
      <c r="BX20" s="175"/>
      <c r="BY20" s="175"/>
      <c r="BZ20" s="175"/>
      <c r="CA20" s="175"/>
      <c r="CB20" s="136"/>
      <c r="CC20" s="127"/>
      <c r="CD20" s="127"/>
      <c r="CE20" s="127"/>
      <c r="CF20" s="127"/>
      <c r="CG20" s="127"/>
      <c r="CH20" s="127"/>
      <c r="CI20" s="127"/>
      <c r="CJ20" s="127"/>
      <c r="CK20" s="127"/>
      <c r="CL20" s="127"/>
      <c r="CM20" s="127"/>
      <c r="CN20" s="127"/>
      <c r="CO20" s="127"/>
      <c r="CP20" s="127"/>
      <c r="CQ20" s="127"/>
    </row>
    <row r="21" spans="1:95" ht="48" customHeight="1" thickTop="1" thickBot="1" x14ac:dyDescent="0.3">
      <c r="A21" s="31">
        <v>10035</v>
      </c>
      <c r="B21" s="50" t="s">
        <v>203</v>
      </c>
      <c r="C21" s="36"/>
      <c r="D21" s="37">
        <v>9.9</v>
      </c>
      <c r="E21" s="38">
        <v>1</v>
      </c>
      <c r="F21" s="39" t="s">
        <v>0</v>
      </c>
      <c r="G21" s="48" t="s">
        <v>1519</v>
      </c>
      <c r="H21" s="4"/>
      <c r="I21" s="4"/>
      <c r="Q21" s="155"/>
      <c r="R21" s="155" t="s">
        <v>155</v>
      </c>
      <c r="S21" s="155"/>
      <c r="T21" s="155"/>
      <c r="U21" s="155"/>
      <c r="V21" s="155"/>
      <c r="W21" s="155"/>
      <c r="X21" s="156">
        <v>1.05</v>
      </c>
      <c r="Y21" s="88">
        <v>2.3E-2</v>
      </c>
      <c r="Z21" s="160" t="s">
        <v>3104</v>
      </c>
      <c r="AA21" s="88"/>
      <c r="AB21" s="87"/>
      <c r="AC21" s="87"/>
      <c r="AL21" s="129">
        <v>51026</v>
      </c>
      <c r="AM21" s="130" t="s">
        <v>620</v>
      </c>
      <c r="AN21" s="131">
        <v>0.01</v>
      </c>
      <c r="AO21" s="132"/>
      <c r="AP21" s="131"/>
      <c r="AQ21" s="131"/>
      <c r="AR21" s="131"/>
      <c r="AS21" s="131"/>
      <c r="AT21" s="131"/>
      <c r="AU21" s="131"/>
      <c r="AV21" s="131"/>
      <c r="AW21" s="131"/>
      <c r="AX21" s="131"/>
      <c r="AY21" s="131"/>
      <c r="AZ21" s="131"/>
      <c r="BA21" s="131"/>
      <c r="BB21" s="131"/>
      <c r="BC21" s="131"/>
      <c r="BD21" s="115"/>
      <c r="BE21" s="146">
        <v>51026</v>
      </c>
      <c r="BF21" s="147" t="s">
        <v>620</v>
      </c>
      <c r="BG21" s="137"/>
      <c r="BH21" s="131"/>
      <c r="BI21" s="131"/>
      <c r="BJ21" s="131"/>
      <c r="BK21" s="131"/>
      <c r="BL21" s="131"/>
      <c r="BM21" s="131"/>
      <c r="BN21" s="131"/>
      <c r="BO21" s="131"/>
      <c r="BP21" s="131"/>
      <c r="BQ21" s="131"/>
      <c r="BR21" s="115"/>
      <c r="BS21" s="146">
        <v>51026</v>
      </c>
      <c r="BT21" s="147" t="s">
        <v>620</v>
      </c>
      <c r="BU21" s="174"/>
      <c r="BV21" s="174"/>
      <c r="BW21" s="174"/>
      <c r="BX21" s="174"/>
      <c r="BY21" s="174"/>
      <c r="BZ21" s="174"/>
      <c r="CA21" s="174"/>
      <c r="CB21" s="137"/>
      <c r="CC21" s="131"/>
      <c r="CD21" s="131"/>
      <c r="CE21" s="131"/>
      <c r="CF21" s="131"/>
      <c r="CG21" s="131"/>
      <c r="CH21" s="131"/>
      <c r="CI21" s="131"/>
      <c r="CJ21" s="131"/>
      <c r="CK21" s="131"/>
      <c r="CL21" s="131"/>
      <c r="CM21" s="131"/>
      <c r="CN21" s="131"/>
      <c r="CO21" s="131"/>
      <c r="CP21" s="131"/>
      <c r="CQ21" s="131"/>
    </row>
    <row r="22" spans="1:95" ht="48" customHeight="1" thickTop="1" thickBot="1" x14ac:dyDescent="0.3">
      <c r="A22" s="31">
        <v>10036</v>
      </c>
      <c r="B22" s="49" t="s">
        <v>204</v>
      </c>
      <c r="C22" s="32"/>
      <c r="D22" s="33">
        <v>9.9</v>
      </c>
      <c r="E22" s="34">
        <v>1</v>
      </c>
      <c r="F22" s="35" t="s">
        <v>0</v>
      </c>
      <c r="G22" s="48" t="s">
        <v>1520</v>
      </c>
      <c r="H22" s="4"/>
      <c r="I22" s="4"/>
      <c r="Q22" s="155" t="s">
        <v>114</v>
      </c>
      <c r="R22" s="155" t="s">
        <v>156</v>
      </c>
      <c r="S22" s="155"/>
      <c r="T22" s="155"/>
      <c r="U22" s="155"/>
      <c r="V22" s="155"/>
      <c r="W22" s="155"/>
      <c r="X22" s="156">
        <v>1.1000000000000001</v>
      </c>
      <c r="Y22" s="88">
        <v>2.4E-2</v>
      </c>
      <c r="Z22" s="160" t="s">
        <v>3105</v>
      </c>
      <c r="AA22" s="88"/>
      <c r="AB22" s="87"/>
      <c r="AC22" s="87"/>
      <c r="AL22" s="126">
        <v>51028</v>
      </c>
      <c r="AM22" s="133" t="s">
        <v>622</v>
      </c>
      <c r="AN22" s="127">
        <v>0.01</v>
      </c>
      <c r="AO22" s="128"/>
      <c r="AP22" s="127"/>
      <c r="AQ22" s="127"/>
      <c r="AR22" s="127"/>
      <c r="AS22" s="127"/>
      <c r="AT22" s="127"/>
      <c r="AU22" s="127"/>
      <c r="AV22" s="127"/>
      <c r="AW22" s="127"/>
      <c r="AX22" s="127"/>
      <c r="AY22" s="127"/>
      <c r="AZ22" s="127"/>
      <c r="BA22" s="127"/>
      <c r="BB22" s="127"/>
      <c r="BC22" s="127"/>
      <c r="BD22" s="115"/>
      <c r="BE22" s="148">
        <v>51028</v>
      </c>
      <c r="BF22" s="149" t="s">
        <v>622</v>
      </c>
      <c r="BG22" s="136"/>
      <c r="BH22" s="127"/>
      <c r="BI22" s="127"/>
      <c r="BJ22" s="127"/>
      <c r="BK22" s="127"/>
      <c r="BL22" s="127"/>
      <c r="BM22" s="127"/>
      <c r="BN22" s="127"/>
      <c r="BO22" s="127"/>
      <c r="BP22" s="127"/>
      <c r="BQ22" s="127"/>
      <c r="BR22" s="115"/>
      <c r="BS22" s="148">
        <v>51028</v>
      </c>
      <c r="BT22" s="149" t="s">
        <v>622</v>
      </c>
      <c r="BU22" s="175"/>
      <c r="BV22" s="175"/>
      <c r="BW22" s="175"/>
      <c r="BX22" s="175"/>
      <c r="BY22" s="175"/>
      <c r="BZ22" s="175"/>
      <c r="CA22" s="175"/>
      <c r="CB22" s="136"/>
      <c r="CC22" s="127"/>
      <c r="CD22" s="127"/>
      <c r="CE22" s="127"/>
      <c r="CF22" s="127"/>
      <c r="CG22" s="127"/>
      <c r="CH22" s="127"/>
      <c r="CI22" s="127"/>
      <c r="CJ22" s="127"/>
      <c r="CK22" s="127"/>
      <c r="CL22" s="127"/>
      <c r="CM22" s="127"/>
      <c r="CN22" s="127"/>
      <c r="CO22" s="127"/>
      <c r="CP22" s="127"/>
      <c r="CQ22" s="127"/>
    </row>
    <row r="23" spans="1:95" ht="48" customHeight="1" thickTop="1" thickBot="1" x14ac:dyDescent="0.3">
      <c r="A23" s="31">
        <v>10037</v>
      </c>
      <c r="B23" s="49" t="s">
        <v>29</v>
      </c>
      <c r="C23" s="32"/>
      <c r="D23" s="33">
        <v>9.9</v>
      </c>
      <c r="E23" s="34">
        <v>1</v>
      </c>
      <c r="F23" s="35" t="s">
        <v>0</v>
      </c>
      <c r="G23" s="48" t="s">
        <v>1521</v>
      </c>
      <c r="H23" s="4"/>
      <c r="I23" s="4"/>
      <c r="Q23" s="155" t="s">
        <v>115</v>
      </c>
      <c r="R23" s="155" t="s">
        <v>158</v>
      </c>
      <c r="S23" s="155"/>
      <c r="T23" s="155"/>
      <c r="U23" s="155"/>
      <c r="V23" s="155"/>
      <c r="W23" s="155"/>
      <c r="X23" s="156">
        <v>1.1499999999999999</v>
      </c>
      <c r="Y23" s="88">
        <v>2.5000000000000001E-2</v>
      </c>
      <c r="Z23" s="160" t="s">
        <v>3106</v>
      </c>
      <c r="AA23" s="88"/>
      <c r="AB23" s="87"/>
      <c r="AC23" s="87"/>
      <c r="AL23" s="129">
        <v>51027</v>
      </c>
      <c r="AM23" s="130" t="s">
        <v>621</v>
      </c>
      <c r="AN23" s="131">
        <v>0.01</v>
      </c>
      <c r="AO23" s="132"/>
      <c r="AP23" s="131"/>
      <c r="AQ23" s="131"/>
      <c r="AR23" s="131"/>
      <c r="AS23" s="131"/>
      <c r="AT23" s="131"/>
      <c r="AU23" s="131"/>
      <c r="AV23" s="131"/>
      <c r="AW23" s="131"/>
      <c r="AX23" s="131"/>
      <c r="AY23" s="131"/>
      <c r="AZ23" s="131"/>
      <c r="BA23" s="131"/>
      <c r="BB23" s="131"/>
      <c r="BC23" s="131"/>
      <c r="BD23" s="115"/>
      <c r="BE23" s="146">
        <v>51027</v>
      </c>
      <c r="BF23" s="147" t="s">
        <v>621</v>
      </c>
      <c r="BG23" s="137"/>
      <c r="BH23" s="131"/>
      <c r="BI23" s="131"/>
      <c r="BJ23" s="131"/>
      <c r="BK23" s="131"/>
      <c r="BL23" s="131"/>
      <c r="BM23" s="131"/>
      <c r="BN23" s="131"/>
      <c r="BO23" s="131"/>
      <c r="BP23" s="131"/>
      <c r="BQ23" s="131"/>
      <c r="BR23" s="115"/>
      <c r="BS23" s="146">
        <v>51027</v>
      </c>
      <c r="BT23" s="147" t="s">
        <v>621</v>
      </c>
      <c r="BU23" s="174"/>
      <c r="BV23" s="174"/>
      <c r="BW23" s="174"/>
      <c r="BX23" s="174"/>
      <c r="BY23" s="174"/>
      <c r="BZ23" s="174"/>
      <c r="CA23" s="174"/>
      <c r="CB23" s="137"/>
      <c r="CC23" s="131"/>
      <c r="CD23" s="131"/>
      <c r="CE23" s="131"/>
      <c r="CF23" s="131"/>
      <c r="CG23" s="131"/>
      <c r="CH23" s="131"/>
      <c r="CI23" s="131"/>
      <c r="CJ23" s="131"/>
      <c r="CK23" s="131"/>
      <c r="CL23" s="131"/>
      <c r="CM23" s="131"/>
      <c r="CN23" s="131"/>
      <c r="CO23" s="131"/>
      <c r="CP23" s="131"/>
      <c r="CQ23" s="131"/>
    </row>
    <row r="24" spans="1:95" ht="48" customHeight="1" thickTop="1" thickBot="1" x14ac:dyDescent="0.3">
      <c r="A24" s="31">
        <v>10039</v>
      </c>
      <c r="B24" s="50" t="s">
        <v>205</v>
      </c>
      <c r="C24" s="36"/>
      <c r="D24" s="37">
        <v>17.2</v>
      </c>
      <c r="E24" s="38">
        <v>1</v>
      </c>
      <c r="F24" s="39" t="s">
        <v>0</v>
      </c>
      <c r="G24" s="48" t="s">
        <v>1522</v>
      </c>
      <c r="H24" s="4"/>
      <c r="I24" s="4"/>
      <c r="Q24" s="155" t="s">
        <v>116</v>
      </c>
      <c r="R24" s="155"/>
      <c r="S24" s="155"/>
      <c r="T24" s="155"/>
      <c r="U24" s="155"/>
      <c r="V24" s="155"/>
      <c r="W24" s="155"/>
      <c r="X24" s="156">
        <v>1.2</v>
      </c>
      <c r="Y24" s="88">
        <v>2.5999999999999999E-2</v>
      </c>
      <c r="Z24" s="161" t="s">
        <v>3114</v>
      </c>
      <c r="AA24" s="88"/>
      <c r="AB24" s="87"/>
      <c r="AC24" s="87"/>
      <c r="AL24" s="126">
        <v>51010</v>
      </c>
      <c r="AM24" s="133" t="s">
        <v>610</v>
      </c>
      <c r="AN24" s="127">
        <v>0.03</v>
      </c>
      <c r="AO24" s="128"/>
      <c r="AP24" s="127">
        <v>0.02</v>
      </c>
      <c r="AQ24" s="127">
        <v>1.4999999999999999E-2</v>
      </c>
      <c r="AR24" s="127">
        <v>1.2E-2</v>
      </c>
      <c r="AS24" s="127"/>
      <c r="AT24" s="127"/>
      <c r="AU24" s="127"/>
      <c r="AV24" s="127"/>
      <c r="AW24" s="127"/>
      <c r="AX24" s="127"/>
      <c r="AY24" s="127"/>
      <c r="AZ24" s="127"/>
      <c r="BA24" s="127"/>
      <c r="BB24" s="127"/>
      <c r="BC24" s="127"/>
      <c r="BD24" s="115"/>
      <c r="BE24" s="148">
        <v>51010</v>
      </c>
      <c r="BF24" s="149" t="s">
        <v>610</v>
      </c>
      <c r="BG24" s="136"/>
      <c r="BH24" s="127"/>
      <c r="BI24" s="127"/>
      <c r="BJ24" s="127"/>
      <c r="BK24" s="127"/>
      <c r="BL24" s="127"/>
      <c r="BM24" s="127"/>
      <c r="BN24" s="127"/>
      <c r="BO24" s="127"/>
      <c r="BP24" s="127"/>
      <c r="BQ24" s="127"/>
      <c r="BR24" s="115"/>
      <c r="BS24" s="148">
        <v>51010</v>
      </c>
      <c r="BT24" s="149" t="s">
        <v>610</v>
      </c>
      <c r="BU24" s="175"/>
      <c r="BV24" s="175"/>
      <c r="BW24" s="175"/>
      <c r="BX24" s="175"/>
      <c r="BY24" s="175"/>
      <c r="BZ24" s="175"/>
      <c r="CA24" s="175"/>
      <c r="CB24" s="136"/>
      <c r="CC24" s="127"/>
      <c r="CD24" s="127"/>
      <c r="CE24" s="127"/>
      <c r="CF24" s="127"/>
      <c r="CG24" s="127"/>
      <c r="CH24" s="127"/>
      <c r="CI24" s="127"/>
      <c r="CJ24" s="127"/>
      <c r="CK24" s="127"/>
      <c r="CL24" s="127"/>
      <c r="CM24" s="127"/>
      <c r="CN24" s="127"/>
      <c r="CO24" s="127"/>
      <c r="CP24" s="127"/>
      <c r="CQ24" s="127"/>
    </row>
    <row r="25" spans="1:95" ht="48" customHeight="1" thickTop="1" thickBot="1" x14ac:dyDescent="0.3">
      <c r="A25" s="31">
        <v>10040</v>
      </c>
      <c r="B25" s="50" t="s">
        <v>206</v>
      </c>
      <c r="C25" s="36">
        <v>3.0000000000000001E-3</v>
      </c>
      <c r="D25" s="37">
        <v>10.65</v>
      </c>
      <c r="E25" s="38">
        <v>1</v>
      </c>
      <c r="F25" s="39" t="s">
        <v>0</v>
      </c>
      <c r="G25" s="48" t="s">
        <v>1523</v>
      </c>
      <c r="H25" s="4"/>
      <c r="I25" s="4"/>
      <c r="Q25" s="155" t="s">
        <v>117</v>
      </c>
      <c r="R25" s="155"/>
      <c r="S25" s="155"/>
      <c r="T25" s="155"/>
      <c r="U25" s="155"/>
      <c r="V25" s="155"/>
      <c r="W25" s="155"/>
      <c r="X25" s="156">
        <v>1.25</v>
      </c>
      <c r="Y25" s="88">
        <v>2.7E-2</v>
      </c>
      <c r="Z25" s="161" t="s">
        <v>3107</v>
      </c>
      <c r="AA25" s="88"/>
      <c r="AB25" s="87"/>
      <c r="AC25" s="87"/>
      <c r="AL25" s="129">
        <v>11069</v>
      </c>
      <c r="AM25" s="130" t="s">
        <v>1496</v>
      </c>
      <c r="AN25" s="131">
        <v>0.01</v>
      </c>
      <c r="AO25" s="132"/>
      <c r="AP25" s="131"/>
      <c r="AQ25" s="131"/>
      <c r="AR25" s="131"/>
      <c r="AS25" s="131"/>
      <c r="AT25" s="131"/>
      <c r="AU25" s="131"/>
      <c r="AV25" s="131"/>
      <c r="AW25" s="131"/>
      <c r="AX25" s="131"/>
      <c r="AY25" s="131"/>
      <c r="AZ25" s="131"/>
      <c r="BA25" s="131"/>
      <c r="BB25" s="131"/>
      <c r="BC25" s="131"/>
      <c r="BD25" s="60"/>
      <c r="BE25" s="150">
        <v>11069</v>
      </c>
      <c r="BF25" s="151" t="s">
        <v>1496</v>
      </c>
      <c r="BG25" s="137"/>
      <c r="BH25" s="131"/>
      <c r="BI25" s="131"/>
      <c r="BJ25" s="131"/>
      <c r="BK25" s="131"/>
      <c r="BL25" s="131"/>
      <c r="BM25" s="131"/>
      <c r="BN25" s="131"/>
      <c r="BO25" s="131"/>
      <c r="BP25" s="131"/>
      <c r="BQ25" s="131"/>
      <c r="BS25" s="150">
        <v>11069</v>
      </c>
      <c r="BT25" s="151" t="s">
        <v>1496</v>
      </c>
      <c r="BU25" s="174"/>
      <c r="BV25" s="174"/>
      <c r="BW25" s="174"/>
      <c r="BX25" s="174"/>
      <c r="BY25" s="174"/>
      <c r="BZ25" s="174"/>
      <c r="CA25" s="174"/>
      <c r="CB25" s="137"/>
      <c r="CC25" s="131"/>
      <c r="CD25" s="131"/>
      <c r="CE25" s="131"/>
      <c r="CF25" s="131"/>
      <c r="CG25" s="131"/>
      <c r="CH25" s="131"/>
      <c r="CI25" s="131"/>
      <c r="CJ25" s="131"/>
      <c r="CK25" s="131"/>
      <c r="CL25" s="131"/>
      <c r="CM25" s="131"/>
      <c r="CN25" s="131"/>
      <c r="CO25" s="131"/>
      <c r="CP25" s="131"/>
      <c r="CQ25" s="131"/>
    </row>
    <row r="26" spans="1:95" ht="48" customHeight="1" thickTop="1" thickBot="1" x14ac:dyDescent="0.3">
      <c r="A26" s="31">
        <v>10041</v>
      </c>
      <c r="B26" s="49" t="s">
        <v>27</v>
      </c>
      <c r="C26" s="32"/>
      <c r="D26" s="33">
        <v>7.9</v>
      </c>
      <c r="E26" s="34">
        <v>1</v>
      </c>
      <c r="F26" s="35" t="s">
        <v>0</v>
      </c>
      <c r="G26" s="48" t="s">
        <v>1524</v>
      </c>
      <c r="H26" s="4"/>
      <c r="I26" s="4"/>
      <c r="Q26" s="155" t="s">
        <v>118</v>
      </c>
      <c r="R26" s="155"/>
      <c r="S26" s="155"/>
      <c r="T26" s="155"/>
      <c r="U26" s="155"/>
      <c r="V26" s="155"/>
      <c r="W26" s="155"/>
      <c r="X26" s="156">
        <v>1.3</v>
      </c>
      <c r="Y26" s="88">
        <v>2.8000000000000001E-2</v>
      </c>
      <c r="Z26" s="161" t="s">
        <v>3108</v>
      </c>
      <c r="AA26" s="88"/>
      <c r="AB26" s="87"/>
      <c r="AC26" s="87"/>
      <c r="BC26" s="1"/>
      <c r="BD26" s="115"/>
      <c r="BO26" s="1"/>
      <c r="BP26" s="60"/>
      <c r="BR26" s="138"/>
    </row>
    <row r="27" spans="1:95" ht="48" customHeight="1" thickTop="1" thickBot="1" x14ac:dyDescent="0.3">
      <c r="A27" s="31">
        <v>10042</v>
      </c>
      <c r="B27" s="49" t="s">
        <v>26</v>
      </c>
      <c r="C27" s="32">
        <v>0.98670000000000002</v>
      </c>
      <c r="D27" s="33">
        <v>6.9</v>
      </c>
      <c r="E27" s="34">
        <v>1</v>
      </c>
      <c r="F27" s="35" t="s">
        <v>0</v>
      </c>
      <c r="G27" s="48" t="s">
        <v>1525</v>
      </c>
      <c r="H27" s="4"/>
      <c r="I27" s="4"/>
      <c r="Q27" s="155" t="s">
        <v>119</v>
      </c>
      <c r="R27" s="155"/>
      <c r="S27" s="155"/>
      <c r="T27" s="155"/>
      <c r="U27" s="155"/>
      <c r="V27" s="155"/>
      <c r="W27" s="155"/>
      <c r="X27" s="156">
        <v>1.35</v>
      </c>
      <c r="Y27" s="88">
        <v>2.9000000000000001E-2</v>
      </c>
      <c r="Z27" s="160" t="s">
        <v>3109</v>
      </c>
      <c r="AA27" s="88"/>
      <c r="AB27" s="87"/>
      <c r="AC27" s="87"/>
      <c r="AL27" s="139"/>
      <c r="AM27" s="141"/>
      <c r="AN27" s="138"/>
      <c r="AO27" s="138"/>
      <c r="AP27" s="138"/>
      <c r="AQ27" s="138"/>
      <c r="AR27" s="138"/>
      <c r="AS27" s="138"/>
      <c r="AT27" s="138"/>
      <c r="AU27" s="138"/>
      <c r="AV27" s="138"/>
      <c r="AW27" s="138"/>
      <c r="AX27" s="138"/>
      <c r="AY27" s="138"/>
      <c r="AZ27" s="138"/>
      <c r="BA27" s="138"/>
      <c r="BB27" s="138"/>
      <c r="BC27" s="138"/>
      <c r="BD27" s="60"/>
      <c r="BE27" s="138"/>
      <c r="BF27" s="138"/>
      <c r="BG27" s="138"/>
      <c r="BH27" s="138"/>
      <c r="BI27" s="138"/>
      <c r="BJ27" s="138"/>
      <c r="BK27" s="138"/>
      <c r="BL27" s="138"/>
      <c r="BM27" s="138"/>
      <c r="BN27" s="138"/>
      <c r="BO27" s="138"/>
      <c r="BP27" s="115"/>
      <c r="BQ27" s="138"/>
      <c r="BS27" s="138"/>
      <c r="BT27" s="138"/>
      <c r="BU27" s="138"/>
      <c r="BV27" s="138"/>
      <c r="BW27" s="138"/>
      <c r="BX27" s="138"/>
      <c r="BY27" s="138"/>
      <c r="BZ27" s="138"/>
      <c r="CA27" s="138"/>
      <c r="CB27" s="138"/>
      <c r="CC27" s="138"/>
      <c r="CD27" s="140"/>
      <c r="CE27" s="140"/>
      <c r="CF27" s="140"/>
      <c r="CG27" s="140"/>
      <c r="CH27" s="140"/>
      <c r="CI27" s="140"/>
      <c r="CJ27" s="140"/>
      <c r="CK27" s="140"/>
      <c r="CL27" s="140"/>
      <c r="CM27" s="140"/>
    </row>
    <row r="28" spans="1:95" ht="48" customHeight="1" thickTop="1" thickBot="1" x14ac:dyDescent="0.3">
      <c r="A28" s="31">
        <v>10043</v>
      </c>
      <c r="B28" s="49" t="s">
        <v>207</v>
      </c>
      <c r="C28" s="32"/>
      <c r="D28" s="33">
        <v>9.9</v>
      </c>
      <c r="E28" s="34">
        <v>1</v>
      </c>
      <c r="F28" s="35" t="s">
        <v>0</v>
      </c>
      <c r="G28" s="48" t="s">
        <v>1526</v>
      </c>
      <c r="H28" s="4"/>
      <c r="I28" s="4"/>
      <c r="Q28" s="155" t="s">
        <v>135</v>
      </c>
      <c r="R28" s="155"/>
      <c r="S28" s="155"/>
      <c r="T28" s="155"/>
      <c r="U28" s="155"/>
      <c r="V28" s="155"/>
      <c r="W28" s="155"/>
      <c r="X28" s="156">
        <v>1.4</v>
      </c>
      <c r="Y28" s="88">
        <v>0.03</v>
      </c>
      <c r="Z28" s="160"/>
      <c r="AA28" s="88"/>
      <c r="AB28" s="87"/>
      <c r="AC28" s="87"/>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5"/>
      <c r="R29" s="155"/>
      <c r="S29" s="155"/>
      <c r="T29" s="155"/>
      <c r="U29" s="155"/>
      <c r="V29" s="155"/>
      <c r="W29" s="155"/>
      <c r="X29" s="156">
        <v>1.45</v>
      </c>
      <c r="Y29" s="88">
        <v>3.1E-2</v>
      </c>
      <c r="Z29" s="160"/>
      <c r="AA29" s="88"/>
      <c r="AB29" s="87"/>
      <c r="AC29" s="87"/>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5" t="s">
        <v>132</v>
      </c>
      <c r="R30" s="155"/>
      <c r="S30" s="155"/>
      <c r="T30" s="155"/>
      <c r="U30" s="155"/>
      <c r="V30" s="155"/>
      <c r="W30" s="155"/>
      <c r="X30" s="156">
        <v>1.5</v>
      </c>
      <c r="Y30" s="88">
        <v>3.2000000000000001E-2</v>
      </c>
      <c r="Z30" s="160"/>
      <c r="AA30" s="88"/>
      <c r="AB30" s="87"/>
      <c r="AC30" s="87"/>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5" t="s">
        <v>131</v>
      </c>
      <c r="R31" s="155"/>
      <c r="S31" s="155"/>
      <c r="T31" s="155"/>
      <c r="U31" s="155"/>
      <c r="V31" s="155"/>
      <c r="W31" s="155"/>
      <c r="X31" s="156"/>
      <c r="Y31" s="88">
        <v>3.3000000000000002E-2</v>
      </c>
      <c r="Z31" s="161"/>
      <c r="AA31" s="88"/>
      <c r="AB31" s="87"/>
      <c r="AC31" s="87"/>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5" t="s">
        <v>120</v>
      </c>
      <c r="R32" s="155"/>
      <c r="S32" s="155"/>
      <c r="T32" s="155"/>
      <c r="U32" s="155"/>
      <c r="V32" s="155"/>
      <c r="W32" s="155"/>
      <c r="X32" s="156"/>
      <c r="Y32" s="88">
        <v>3.4000000000000002E-2</v>
      </c>
      <c r="Z32" s="161"/>
      <c r="AA32" s="88"/>
      <c r="AB32" s="87"/>
      <c r="AC32" s="87"/>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5" t="s">
        <v>121</v>
      </c>
      <c r="R33" s="155"/>
      <c r="S33" s="155"/>
      <c r="T33" s="155"/>
      <c r="U33" s="155"/>
      <c r="V33" s="155"/>
      <c r="W33" s="155"/>
      <c r="X33" s="156"/>
      <c r="Y33" s="88">
        <v>3.5000000000000003E-2</v>
      </c>
      <c r="Z33" s="161"/>
      <c r="AA33" s="88"/>
      <c r="AB33" s="87"/>
      <c r="AC33" s="87"/>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5" t="s">
        <v>122</v>
      </c>
      <c r="R34" s="155"/>
      <c r="S34" s="155"/>
      <c r="T34" s="155"/>
      <c r="U34" s="155"/>
      <c r="V34" s="155"/>
      <c r="W34" s="155"/>
      <c r="X34" s="156"/>
      <c r="Y34" s="88">
        <v>3.5999999999999997E-2</v>
      </c>
      <c r="Z34" s="161"/>
      <c r="AA34" s="88"/>
      <c r="AB34" s="87"/>
      <c r="AC34" s="87"/>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5" t="s">
        <v>123</v>
      </c>
      <c r="R35" s="155"/>
      <c r="S35" s="155"/>
      <c r="T35" s="155"/>
      <c r="U35" s="155"/>
      <c r="V35" s="155"/>
      <c r="W35" s="155"/>
      <c r="X35" s="156"/>
      <c r="Y35" s="88">
        <v>3.6999999999999998E-2</v>
      </c>
      <c r="Z35" s="161"/>
      <c r="AA35" s="88"/>
      <c r="AB35" s="87"/>
      <c r="AC35" s="87"/>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5" t="s">
        <v>124</v>
      </c>
      <c r="R36" s="155"/>
      <c r="S36" s="155"/>
      <c r="T36" s="155"/>
      <c r="U36" s="155"/>
      <c r="V36" s="155"/>
      <c r="W36" s="155"/>
      <c r="X36" s="156"/>
      <c r="Y36" s="88">
        <v>3.7999999999999999E-2</v>
      </c>
      <c r="Z36" s="161"/>
      <c r="AA36" s="88"/>
      <c r="AB36" s="87"/>
      <c r="AC36" s="87"/>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5" t="s">
        <v>125</v>
      </c>
      <c r="R37" s="155"/>
      <c r="S37" s="155"/>
      <c r="T37" s="155"/>
      <c r="U37" s="155"/>
      <c r="V37" s="155"/>
      <c r="W37" s="155"/>
      <c r="X37" s="156"/>
      <c r="Y37" s="88">
        <v>3.9E-2</v>
      </c>
      <c r="Z37" s="161"/>
      <c r="AA37" s="88"/>
      <c r="AB37" s="87"/>
      <c r="AC37" s="87"/>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5"/>
      <c r="R38" s="155"/>
      <c r="S38" s="155"/>
      <c r="T38" s="155"/>
      <c r="U38" s="155"/>
      <c r="V38" s="155"/>
      <c r="W38" s="155"/>
      <c r="X38" s="156"/>
      <c r="Y38" s="88">
        <v>0.04</v>
      </c>
      <c r="Z38" s="161"/>
      <c r="AA38" s="88"/>
      <c r="AB38" s="87"/>
      <c r="AC38" s="87"/>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5" t="s">
        <v>138</v>
      </c>
      <c r="R39" s="155"/>
      <c r="S39" s="155"/>
      <c r="T39" s="155"/>
      <c r="U39" s="155"/>
      <c r="V39" s="155"/>
      <c r="W39" s="155"/>
      <c r="X39" s="156"/>
      <c r="Y39" s="158"/>
      <c r="Z39" s="161"/>
      <c r="AA39" s="88"/>
      <c r="AB39" s="87"/>
      <c r="AC39" s="87"/>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5" t="s">
        <v>139</v>
      </c>
      <c r="R40" s="155"/>
      <c r="S40" s="155"/>
      <c r="T40" s="155"/>
      <c r="U40" s="155"/>
      <c r="V40" s="155"/>
      <c r="W40" s="155"/>
      <c r="X40" s="156"/>
      <c r="Y40" s="158"/>
      <c r="Z40" s="161"/>
      <c r="AA40" s="88"/>
      <c r="AB40" s="87"/>
      <c r="AC40" s="87"/>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5" t="s">
        <v>140</v>
      </c>
      <c r="R41" s="155"/>
      <c r="S41" s="155"/>
      <c r="T41" s="155"/>
      <c r="U41" s="155"/>
      <c r="V41" s="155"/>
      <c r="W41" s="155"/>
      <c r="X41" s="156"/>
      <c r="Y41" s="158"/>
      <c r="Z41" s="161"/>
      <c r="AA41" s="88"/>
      <c r="AB41" s="87"/>
      <c r="AC41" s="87"/>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5" t="s">
        <v>141</v>
      </c>
      <c r="R42" s="155"/>
      <c r="S42" s="155"/>
      <c r="T42" s="155"/>
      <c r="U42" s="155"/>
      <c r="V42" s="155"/>
      <c r="W42" s="155"/>
      <c r="X42" s="156"/>
      <c r="Y42" s="158"/>
      <c r="Z42" s="161"/>
      <c r="AA42" s="88"/>
      <c r="AB42" s="87"/>
      <c r="AC42" s="87"/>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5" t="s">
        <v>142</v>
      </c>
      <c r="R43" s="155"/>
      <c r="S43" s="155"/>
      <c r="T43" s="155"/>
      <c r="U43" s="155"/>
      <c r="V43" s="155"/>
      <c r="W43" s="155"/>
      <c r="X43" s="156"/>
      <c r="Y43" s="158"/>
      <c r="Z43" s="161"/>
      <c r="AA43" s="88"/>
      <c r="AB43" s="87"/>
      <c r="AC43" s="87"/>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5" t="s">
        <v>143</v>
      </c>
      <c r="R44" s="155"/>
      <c r="S44" s="155"/>
      <c r="T44" s="155"/>
      <c r="U44" s="155"/>
      <c r="V44" s="155"/>
      <c r="W44" s="155"/>
      <c r="X44" s="156"/>
      <c r="Y44" s="158"/>
      <c r="Z44" s="161"/>
      <c r="AA44" s="88"/>
      <c r="AB44" s="87"/>
      <c r="AC44" s="87"/>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5" t="s">
        <v>144</v>
      </c>
      <c r="R45" s="155"/>
      <c r="S45" s="155"/>
      <c r="T45" s="155"/>
      <c r="U45" s="155"/>
      <c r="V45" s="155"/>
      <c r="W45" s="155"/>
      <c r="X45" s="156"/>
      <c r="Y45" s="158"/>
      <c r="Z45" s="161"/>
      <c r="AA45" s="88"/>
      <c r="AB45" s="87"/>
      <c r="AC45" s="87"/>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5"/>
      <c r="R46" s="155"/>
      <c r="S46" s="155"/>
      <c r="T46" s="155"/>
      <c r="U46" s="155"/>
      <c r="V46" s="155"/>
      <c r="W46" s="155"/>
      <c r="X46" s="156"/>
      <c r="Y46" s="158"/>
      <c r="Z46" s="161"/>
      <c r="AA46" s="88"/>
      <c r="AB46" s="87"/>
      <c r="AC46" s="87"/>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5" t="s">
        <v>159</v>
      </c>
      <c r="R47" s="155"/>
      <c r="S47" s="155"/>
      <c r="T47" s="155"/>
      <c r="U47" s="155"/>
      <c r="V47" s="155"/>
      <c r="W47" s="155"/>
      <c r="X47" s="156"/>
      <c r="Y47" s="158"/>
      <c r="Z47" s="161"/>
      <c r="AA47" s="88"/>
      <c r="AB47" s="87"/>
      <c r="AC47" s="87"/>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5" t="s">
        <v>126</v>
      </c>
      <c r="R48" s="155"/>
      <c r="S48" s="155"/>
      <c r="T48" s="155"/>
      <c r="U48" s="155"/>
      <c r="V48" s="155"/>
      <c r="W48" s="155"/>
      <c r="X48" s="156"/>
      <c r="Y48" s="158"/>
      <c r="Z48" s="161"/>
      <c r="AA48" s="88"/>
      <c r="AB48" s="87"/>
      <c r="AC48" s="87"/>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5" t="s">
        <v>127</v>
      </c>
      <c r="R49" s="155"/>
      <c r="S49" s="155"/>
      <c r="T49" s="155"/>
      <c r="U49" s="155"/>
      <c r="V49" s="155"/>
      <c r="W49" s="155"/>
      <c r="X49" s="156"/>
      <c r="Y49" s="158"/>
      <c r="Z49" s="161"/>
      <c r="AA49" s="88"/>
      <c r="AB49" s="87"/>
      <c r="AC49" s="87"/>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5" t="s">
        <v>133</v>
      </c>
      <c r="R50" s="155"/>
      <c r="S50" s="155"/>
      <c r="T50" s="155"/>
      <c r="U50" s="155"/>
      <c r="V50" s="155"/>
      <c r="W50" s="155"/>
      <c r="X50" s="156"/>
      <c r="Y50" s="158"/>
      <c r="Z50" s="161"/>
      <c r="AA50" s="88"/>
      <c r="AB50" s="87"/>
      <c r="AC50" s="87"/>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5" t="s">
        <v>134</v>
      </c>
      <c r="R51" s="155"/>
      <c r="S51" s="155"/>
      <c r="T51" s="155"/>
      <c r="U51" s="155"/>
      <c r="V51" s="155"/>
      <c r="W51" s="155"/>
      <c r="X51" s="156"/>
      <c r="Y51" s="158"/>
      <c r="Z51" s="161"/>
      <c r="AA51" s="88"/>
      <c r="AB51" s="87"/>
      <c r="AC51" s="87"/>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5" t="s">
        <v>166</v>
      </c>
      <c r="R52" s="155"/>
      <c r="S52" s="155"/>
      <c r="T52" s="155"/>
      <c r="U52" s="155"/>
      <c r="V52" s="155"/>
      <c r="W52" s="155"/>
      <c r="X52" s="156"/>
      <c r="Y52" s="158"/>
      <c r="Z52" s="161"/>
      <c r="AA52" s="88"/>
      <c r="AB52" s="87"/>
      <c r="AC52" s="87"/>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5" t="s">
        <v>167</v>
      </c>
      <c r="R53" s="155"/>
      <c r="S53" s="155"/>
      <c r="T53" s="155"/>
      <c r="U53" s="155"/>
      <c r="V53" s="155"/>
      <c r="W53" s="155"/>
      <c r="X53" s="156"/>
      <c r="Y53" s="158"/>
      <c r="Z53" s="161"/>
      <c r="AA53" s="88"/>
      <c r="AB53" s="87"/>
      <c r="AC53" s="87"/>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5"/>
      <c r="R54" s="155"/>
      <c r="S54" s="155"/>
      <c r="T54" s="155"/>
      <c r="U54" s="155"/>
      <c r="V54" s="155"/>
      <c r="W54" s="155"/>
      <c r="X54" s="156"/>
      <c r="Y54" s="158"/>
      <c r="Z54" s="161"/>
      <c r="AA54" s="88"/>
      <c r="AB54" s="87"/>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5"/>
      <c r="R55" s="155"/>
      <c r="S55" s="155"/>
      <c r="T55" s="155"/>
      <c r="U55" s="155"/>
      <c r="V55" s="155"/>
      <c r="W55" s="155"/>
      <c r="X55" s="156"/>
      <c r="Y55" s="158"/>
      <c r="Z55" s="161"/>
      <c r="AA55" s="88"/>
      <c r="AB55" s="87"/>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3112</v>
      </c>
      <c r="C98" s="32">
        <v>8.3699999999999997E-2</v>
      </c>
      <c r="D98" s="33">
        <v>12.1</v>
      </c>
      <c r="E98" s="34">
        <v>1</v>
      </c>
      <c r="F98" s="35" t="s">
        <v>0</v>
      </c>
      <c r="G98" s="83" t="s">
        <v>3113</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8" t="s">
        <v>173</v>
      </c>
      <c r="C185" s="162">
        <v>0.29360000000000003</v>
      </c>
      <c r="D185" s="16">
        <v>9.4</v>
      </c>
      <c r="E185" s="200">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3110</v>
      </c>
      <c r="C224" s="36"/>
      <c r="D224" s="37"/>
      <c r="E224" s="38">
        <v>1</v>
      </c>
      <c r="F224" s="39" t="s">
        <v>0</v>
      </c>
      <c r="G224" s="83" t="s">
        <v>3111</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2"/>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2">
        <v>0.3977</v>
      </c>
      <c r="D245" s="37">
        <v>7.85</v>
      </c>
      <c r="E245" s="38">
        <v>1</v>
      </c>
      <c r="F245" s="39" t="s">
        <v>0</v>
      </c>
      <c r="G245" s="48" t="s">
        <v>1731</v>
      </c>
      <c r="H245" s="4"/>
      <c r="I245" s="4"/>
    </row>
    <row r="246" spans="1:9" ht="48" customHeight="1" thickTop="1" thickBot="1" x14ac:dyDescent="0.25">
      <c r="A246" s="41">
        <v>11179</v>
      </c>
      <c r="B246" s="50" t="s">
        <v>389</v>
      </c>
      <c r="C246" s="162"/>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2">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2"/>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2"/>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90" t="s">
        <v>551</v>
      </c>
      <c r="C430" s="162">
        <v>2.5000000000000001E-3</v>
      </c>
      <c r="D430" s="191">
        <v>6.85</v>
      </c>
      <c r="E430" s="38">
        <v>1</v>
      </c>
      <c r="F430" s="39" t="s">
        <v>0</v>
      </c>
      <c r="G430" s="48" t="s">
        <v>1913</v>
      </c>
      <c r="H430" s="4"/>
    </row>
    <row r="431" spans="1:8" ht="19" thickTop="1" thickBot="1" x14ac:dyDescent="0.25">
      <c r="A431" s="41">
        <v>40088</v>
      </c>
      <c r="B431" s="190" t="s">
        <v>535</v>
      </c>
      <c r="C431" s="162"/>
      <c r="D431" s="191">
        <v>6.2</v>
      </c>
      <c r="E431" s="38">
        <v>1</v>
      </c>
      <c r="F431" s="39" t="s">
        <v>0</v>
      </c>
      <c r="G431" s="48" t="s">
        <v>1914</v>
      </c>
      <c r="H431" s="4"/>
    </row>
    <row r="432" spans="1:8" ht="19" thickTop="1" thickBot="1" x14ac:dyDescent="0.25">
      <c r="A432" s="41">
        <v>40090</v>
      </c>
      <c r="B432" s="190" t="s">
        <v>552</v>
      </c>
      <c r="C432" s="162"/>
      <c r="D432" s="191">
        <v>6.5</v>
      </c>
      <c r="E432" s="38">
        <v>1</v>
      </c>
      <c r="F432" s="39" t="s">
        <v>0</v>
      </c>
      <c r="G432" s="48" t="s">
        <v>1915</v>
      </c>
      <c r="H432" s="4"/>
    </row>
    <row r="433" spans="1:8" ht="19" thickTop="1" thickBot="1" x14ac:dyDescent="0.25">
      <c r="A433" s="41">
        <v>40095</v>
      </c>
      <c r="B433" s="190" t="s">
        <v>553</v>
      </c>
      <c r="C433" s="162"/>
      <c r="D433" s="191">
        <v>4.3</v>
      </c>
      <c r="E433" s="38">
        <v>1</v>
      </c>
      <c r="F433" s="39" t="s">
        <v>0</v>
      </c>
      <c r="G433" s="48" t="s">
        <v>1916</v>
      </c>
      <c r="H433" s="4"/>
    </row>
    <row r="434" spans="1:8" ht="19" thickTop="1" thickBot="1" x14ac:dyDescent="0.25">
      <c r="A434" s="41">
        <v>40096</v>
      </c>
      <c r="B434" s="190" t="s">
        <v>41</v>
      </c>
      <c r="C434" s="162"/>
      <c r="D434" s="191">
        <v>5.5</v>
      </c>
      <c r="E434" s="38">
        <v>1</v>
      </c>
      <c r="F434" s="39" t="s">
        <v>0</v>
      </c>
      <c r="G434" s="48" t="s">
        <v>1917</v>
      </c>
      <c r="H434" s="4"/>
    </row>
    <row r="435" spans="1:8" ht="19" thickTop="1" thickBot="1" x14ac:dyDescent="0.25">
      <c r="A435" s="41">
        <v>40097</v>
      </c>
      <c r="B435" s="190" t="s">
        <v>554</v>
      </c>
      <c r="C435" s="162">
        <v>2E-3</v>
      </c>
      <c r="D435" s="191">
        <v>7.2</v>
      </c>
      <c r="E435" s="38">
        <v>1</v>
      </c>
      <c r="F435" s="39" t="s">
        <v>0</v>
      </c>
      <c r="G435" s="48" t="s">
        <v>1918</v>
      </c>
      <c r="H435" s="4"/>
    </row>
    <row r="436" spans="1:8" ht="19" thickTop="1" thickBot="1" x14ac:dyDescent="0.25">
      <c r="A436" s="41">
        <v>40098</v>
      </c>
      <c r="B436" s="190" t="s">
        <v>555</v>
      </c>
      <c r="C436" s="162"/>
      <c r="D436" s="191">
        <v>7</v>
      </c>
      <c r="E436" s="38">
        <v>1</v>
      </c>
      <c r="F436" s="39" t="s">
        <v>0</v>
      </c>
      <c r="G436" s="48" t="s">
        <v>1919</v>
      </c>
      <c r="H436" s="4"/>
    </row>
    <row r="437" spans="1:8" ht="19" thickTop="1" thickBot="1" x14ac:dyDescent="0.25">
      <c r="A437" s="41">
        <v>40100</v>
      </c>
      <c r="B437" s="190" t="s">
        <v>556</v>
      </c>
      <c r="C437" s="162"/>
      <c r="D437" s="191">
        <v>8.4</v>
      </c>
      <c r="E437" s="38">
        <v>1</v>
      </c>
      <c r="F437" s="39" t="s">
        <v>0</v>
      </c>
      <c r="G437" s="48" t="s">
        <v>1920</v>
      </c>
      <c r="H437" s="4"/>
    </row>
    <row r="438" spans="1:8" ht="19" thickTop="1" thickBot="1" x14ac:dyDescent="0.25">
      <c r="A438" s="41">
        <v>40104</v>
      </c>
      <c r="B438" s="190" t="s">
        <v>557</v>
      </c>
      <c r="C438" s="162"/>
      <c r="D438" s="191">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3" t="s">
        <v>3148</v>
      </c>
      <c r="H668" s="4"/>
      <c r="X668" s="152"/>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3022</v>
      </c>
      <c r="C846" s="36"/>
      <c r="D846" s="37"/>
      <c r="E846" s="38"/>
      <c r="F846" s="39"/>
      <c r="G846" s="83" t="s">
        <v>3021</v>
      </c>
      <c r="H846" s="4"/>
    </row>
    <row r="847" spans="1:8" ht="18" thickTop="1" thickBot="1" x14ac:dyDescent="0.25">
      <c r="A847" s="41">
        <v>64100</v>
      </c>
      <c r="B847" s="50" t="s">
        <v>3043</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202"/>
      <c r="H1543" s="4"/>
    </row>
    <row r="1544" spans="1:8" ht="27" thickTop="1" x14ac:dyDescent="0.3">
      <c r="A1544" s="23"/>
      <c r="B1544" s="24"/>
      <c r="C1544" s="25"/>
      <c r="D1544" s="189"/>
      <c r="E1544" s="24"/>
      <c r="F1544" s="24"/>
      <c r="G1544" s="202"/>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38</vt:i4>
      </vt:variant>
    </vt:vector>
  </HeadingPairs>
  <TitlesOfParts>
    <vt:vector size="41"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Artikelnummer8</vt:lpstr>
      <vt:lpstr>Artikelnummer9</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Menge8</vt:lpstr>
      <vt:lpstr>Menge9</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2023-02-08T18:40:30Z</dcterms:modified>
</cp:coreProperties>
</file>