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3_Turkey/Injected &amp; Tumbled/A_Online-Versionen/"/>
    </mc:Choice>
  </mc:AlternateContent>
  <xr:revisionPtr revIDLastSave="0" documentId="13_ncr:1_{2696280D-D582-C849-8589-E52747450296}" xr6:coauthVersionLast="47" xr6:coauthVersionMax="47" xr10:uidLastSave="{00000000-0000-0000-0000-000000000000}"/>
  <workbookProtection workbookAlgorithmName="SHA-512" workbookHashValue="TD5JwA/31r5Wayn4ZxxEtya96DQailrBr/bOxwkcZ2O9PIfOmwWllozYwc4leebZq28Pbn009io7IkKupnCcTg==" workbookSaltValue="JpFDMMDmpLPUayI6GNWNIQ=="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'Tumbler-Recipe'!$B$1:$N$96</definedName>
    <definedName name="Druckbereich2">'Tumbler-Recipe'!$B$1:$N$96</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'Tumbler-Recipe'!$M$22:$M$22,'Tumbler-Recipe'!$M$16:$M$18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'Tumbler-Recipe'!$M$22:$M$22</definedName>
    <definedName name="Salt">#REF!</definedName>
    <definedName name="SaltContent">'Tumbler-Recipe'!$M$12</definedName>
    <definedName name="SaltContent2">'Brine-Calculator'!#REF!</definedName>
    <definedName name="SaltSum">'Tumbler-Recipe'!$T$23</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6" i="7" l="1"/>
  <c r="D36" i="7"/>
  <c r="E35" i="7"/>
  <c r="D35" i="7"/>
  <c r="E34" i="7"/>
  <c r="D34" i="7"/>
  <c r="E33" i="7"/>
  <c r="D33" i="7"/>
  <c r="E32" i="7"/>
  <c r="D32" i="7"/>
  <c r="E31" i="7"/>
  <c r="D31" i="7"/>
  <c r="E30" i="7"/>
  <c r="D30" i="7"/>
  <c r="E29" i="7"/>
  <c r="D29" i="7"/>
  <c r="E28" i="7"/>
  <c r="D28" i="7"/>
  <c r="E27" i="7"/>
  <c r="D27" i="7"/>
  <c r="M22" i="7"/>
  <c r="N22" i="7"/>
  <c r="M20" i="7"/>
  <c r="N20" i="7"/>
  <c r="M19" i="7"/>
  <c r="T19" i="7"/>
  <c r="M18" i="7"/>
  <c r="N18" i="7"/>
  <c r="M16" i="7"/>
  <c r="N16" i="7"/>
  <c r="O10" i="7"/>
  <c r="Q10" i="7"/>
  <c r="O19" i="7"/>
  <c r="P19" i="7"/>
  <c r="E19" i="7"/>
  <c r="D19" i="7"/>
  <c r="B10" i="8"/>
  <c r="D10" i="8"/>
  <c r="B18" i="7"/>
  <c r="O18" i="7"/>
  <c r="P18" i="7"/>
  <c r="B14" i="8"/>
  <c r="D14" i="8"/>
  <c r="B13" i="8"/>
  <c r="B11" i="8"/>
  <c r="D11" i="8"/>
  <c r="O8" i="8"/>
  <c r="B8" i="8"/>
  <c r="O16" i="8"/>
  <c r="O16" i="7"/>
  <c r="P16" i="7"/>
  <c r="O22" i="7"/>
  <c r="P22" i="7"/>
  <c r="B13" i="7"/>
  <c r="P24" i="7"/>
  <c r="P17" i="7"/>
  <c r="O20" i="7"/>
  <c r="P13" i="7"/>
  <c r="E20" i="7"/>
  <c r="D20" i="7"/>
  <c r="D16" i="7"/>
  <c r="D17" i="7"/>
  <c r="E22" i="7"/>
  <c r="E16" i="7"/>
  <c r="D22" i="7"/>
  <c r="B12" i="8"/>
  <c r="D12" i="8"/>
  <c r="E14" i="8"/>
  <c r="R14" i="8"/>
  <c r="L14" i="8"/>
  <c r="K14" i="8"/>
  <c r="D18" i="7"/>
  <c r="N19" i="7"/>
  <c r="T20" i="7"/>
  <c r="T18" i="7"/>
  <c r="Q18" i="7"/>
  <c r="R18" i="7"/>
  <c r="Q19" i="7"/>
  <c r="R19" i="7"/>
  <c r="E18" i="7"/>
  <c r="E10" i="8"/>
  <c r="R10" i="8"/>
  <c r="L10" i="8"/>
  <c r="K10" i="8"/>
  <c r="T16" i="7"/>
  <c r="Q22" i="7"/>
  <c r="R22" i="7"/>
  <c r="T22" i="7"/>
  <c r="P23" i="7"/>
  <c r="P14" i="7"/>
  <c r="P20" i="7"/>
  <c r="Q20" i="7"/>
  <c r="R20" i="7"/>
  <c r="R10" i="7"/>
  <c r="P10" i="7"/>
  <c r="E13" i="8"/>
  <c r="R13" i="8"/>
  <c r="L13" i="8"/>
  <c r="D13" i="8"/>
  <c r="Q16" i="7"/>
  <c r="E12" i="8"/>
  <c r="R12" i="8"/>
  <c r="L12" i="8"/>
  <c r="N12" i="8"/>
  <c r="P12" i="8"/>
  <c r="Q12" i="8"/>
  <c r="N14" i="8"/>
  <c r="P14" i="8"/>
  <c r="Q14" i="8"/>
  <c r="M14" i="8"/>
  <c r="T23" i="7"/>
  <c r="M17" i="7"/>
  <c r="Q17" i="7"/>
  <c r="R17" i="7"/>
  <c r="N10" i="8"/>
  <c r="P10" i="8"/>
  <c r="M10" i="8"/>
  <c r="K13" i="8"/>
  <c r="N13" i="8"/>
  <c r="M13" i="8"/>
  <c r="R16" i="7"/>
  <c r="K12" i="8"/>
  <c r="M12" i="8"/>
  <c r="O12" i="8"/>
  <c r="O14" i="8"/>
  <c r="R11" i="8"/>
  <c r="L11" i="8"/>
  <c r="L15" i="8"/>
  <c r="Q23" i="7"/>
  <c r="N17" i="7"/>
  <c r="M13" i="7"/>
  <c r="Q13" i="7"/>
  <c r="R13" i="7"/>
  <c r="O10" i="8"/>
  <c r="Q10" i="8"/>
  <c r="R23" i="7"/>
  <c r="R14" i="7"/>
  <c r="R24" i="7"/>
  <c r="O13" i="8"/>
  <c r="P13" i="8"/>
  <c r="Q13" i="8"/>
  <c r="M11" i="8"/>
  <c r="Q14" i="7"/>
  <c r="O14" i="7"/>
  <c r="K11" i="8"/>
  <c r="P11" i="8"/>
  <c r="Q11" i="8"/>
  <c r="K8" i="8"/>
  <c r="L8" i="8"/>
  <c r="K13" i="7"/>
  <c r="N13" i="7"/>
  <c r="M14" i="7"/>
  <c r="M21" i="7"/>
  <c r="M23" i="7"/>
  <c r="K23" i="7"/>
  <c r="Q24" i="7"/>
  <c r="O11" i="8"/>
  <c r="K16" i="7"/>
  <c r="K17" i="7"/>
  <c r="K14" i="7"/>
  <c r="K24" i="7"/>
  <c r="K15" i="8"/>
  <c r="M8" i="8"/>
  <c r="K16" i="8"/>
  <c r="P8" i="8"/>
  <c r="Q8" i="8"/>
  <c r="O23" i="7"/>
  <c r="P15" i="8"/>
  <c r="P16" i="8"/>
  <c r="O24" i="7"/>
  <c r="N16" i="8"/>
  <c r="N15" i="8"/>
</calcChain>
</file>

<file path=xl/sharedStrings.xml><?xml version="1.0" encoding="utf-8"?>
<sst xmlns="http://schemas.openxmlformats.org/spreadsheetml/2006/main" count="5179" uniqueCount="3222">
  <si>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</si>
  <si>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</si>
  <si>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</si>
  <si>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</si>
  <si>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</si>
  <si>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</si>
  <si>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</si>
  <si>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</si>
  <si>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</si>
  <si>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</si>
  <si>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</si>
  <si>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</si>
  <si>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</si>
  <si>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</si>
  <si>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</si>
  <si>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</si>
  <si>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</si>
  <si>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</si>
  <si>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</si>
  <si>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</si>
  <si>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</si>
  <si>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</si>
  <si>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</si>
  <si>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</si>
  <si>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</si>
  <si>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</si>
  <si>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</si>
  <si>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</si>
  <si>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</si>
  <si>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</si>
  <si>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</si>
  <si>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</si>
  <si>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</si>
  <si>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</si>
  <si>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</si>
  <si>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</si>
  <si>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</si>
  <si>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</si>
  <si>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</si>
  <si>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</si>
  <si>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</si>
  <si>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</si>
  <si>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</si>
  <si>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</si>
  <si>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</si>
  <si>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</si>
  <si>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</si>
  <si>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</si>
  <si>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</si>
  <si>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</si>
  <si>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</si>
  <si>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</si>
  <si>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</si>
  <si>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</si>
  <si>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</si>
  <si>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</si>
  <si>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</si>
  <si>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</si>
  <si>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</si>
  <si>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</si>
  <si>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</si>
  <si>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</si>
  <si>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</si>
  <si>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</si>
  <si>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</si>
  <si>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</si>
  <si>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</si>
  <si>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</si>
  <si>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</si>
  <si>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</si>
  <si>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</si>
  <si>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</si>
  <si>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</si>
  <si>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</si>
  <si>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</si>
  <si>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</si>
  <si>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</si>
  <si>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</si>
  <si>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</si>
  <si>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</si>
  <si>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</si>
  <si>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</si>
  <si>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</si>
  <si>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</si>
  <si>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</si>
  <si>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</si>
  <si>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</si>
  <si>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</si>
  <si>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</si>
  <si>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</si>
  <si>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</si>
  <si>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</si>
  <si>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</si>
  <si>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</si>
  <si>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</si>
  <si>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</si>
  <si>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</si>
  <si>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</si>
  <si>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</si>
  <si>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</si>
  <si>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</si>
  <si>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</si>
  <si>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</si>
  <si>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</si>
  <si>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</si>
  <si>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</si>
  <si>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</si>
  <si>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</si>
  <si>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</si>
  <si>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</si>
  <si>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</si>
  <si>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</si>
  <si>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</si>
  <si>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</si>
  <si>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</si>
  <si>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</si>
  <si>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</si>
  <si>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</si>
  <si>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</si>
  <si>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</si>
  <si>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</si>
  <si>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</si>
  <si>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</si>
  <si>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</si>
  <si>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</si>
  <si>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</si>
  <si>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</si>
  <si>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</si>
  <si>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</si>
  <si>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</si>
  <si>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</si>
  <si>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</si>
  <si>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</si>
  <si>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</si>
  <si>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</si>
  <si>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</si>
  <si>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</si>
  <si>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</si>
  <si>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</si>
  <si>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</si>
  <si>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</si>
  <si>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</si>
  <si>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</si>
  <si>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</si>
  <si>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</si>
  <si>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</si>
  <si>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</si>
  <si>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</si>
  <si>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</si>
  <si>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</si>
  <si>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</si>
  <si>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</si>
  <si>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</si>
  <si>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</si>
  <si>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</si>
  <si>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</si>
  <si>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</si>
  <si>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</si>
  <si>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</si>
  <si>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</si>
  <si>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</si>
  <si>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</si>
  <si>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</si>
  <si>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</si>
  <si>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</si>
  <si>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</si>
  <si>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</si>
  <si>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</si>
  <si>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</si>
  <si>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</si>
  <si>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</si>
  <si>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</si>
  <si>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</si>
  <si>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</si>
  <si>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</si>
  <si>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</si>
  <si>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</si>
  <si>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</si>
  <si>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</si>
  <si>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</si>
  <si>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</si>
  <si>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</si>
  <si>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</si>
  <si>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</si>
  <si>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</si>
  <si>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</si>
  <si>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</si>
  <si>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</si>
  <si>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</si>
  <si>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</si>
  <si>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</si>
  <si>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</si>
  <si>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</si>
  <si>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</si>
  <si>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</si>
  <si>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</si>
  <si>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</si>
  <si>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</si>
  <si>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</si>
  <si>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</si>
  <si>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</si>
  <si>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</si>
  <si>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</si>
  <si>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</si>
  <si>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</si>
  <si>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</si>
  <si>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</si>
  <si>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</si>
  <si>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</si>
  <si>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</si>
  <si>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</si>
  <si>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</si>
  <si>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</si>
  <si>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</si>
  <si>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</si>
  <si>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</si>
  <si>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</si>
  <si>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</si>
  <si>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</si>
  <si>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</si>
  <si>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</si>
  <si>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</si>
  <si>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</si>
  <si>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</si>
  <si>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</si>
  <si>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</si>
  <si>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</si>
  <si>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</si>
  <si>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</si>
  <si>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</si>
  <si>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</si>
  <si>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</si>
  <si>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</si>
  <si>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</si>
  <si>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</si>
  <si>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</si>
  <si>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</si>
  <si>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</si>
  <si>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</si>
  <si>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</si>
  <si>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</si>
  <si>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</si>
  <si>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</si>
  <si>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</si>
  <si>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</si>
  <si>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</si>
  <si>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</si>
  <si>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</si>
  <si>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</si>
  <si>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</si>
  <si>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</si>
  <si>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</si>
  <si>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</si>
  <si>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</si>
  <si>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</si>
  <si>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</si>
  <si>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</si>
  <si>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</si>
  <si>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</si>
  <si>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</si>
  <si>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</si>
  <si>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</si>
  <si>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</si>
  <si>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</si>
  <si>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</si>
  <si>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</si>
  <si>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</si>
  <si>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</si>
  <si>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</si>
  <si>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</si>
  <si>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</si>
  <si>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</si>
  <si>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</si>
  <si>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</si>
  <si>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</si>
  <si>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</si>
  <si>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</si>
  <si>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</si>
  <si>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</si>
  <si>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</si>
  <si>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</si>
  <si>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</si>
  <si>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</si>
  <si>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</si>
  <si>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</si>
  <si>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</si>
  <si>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</si>
  <si>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</si>
  <si>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</si>
  <si>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</si>
  <si>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</si>
  <si>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</si>
  <si>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</si>
  <si>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</si>
  <si>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</si>
  <si>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</si>
  <si>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</si>
  <si>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</si>
  <si>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</si>
  <si>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</si>
  <si>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</si>
  <si>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</si>
  <si>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</si>
  <si>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</si>
  <si>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</si>
  <si>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</si>
  <si>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</si>
  <si>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</si>
  <si>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</si>
  <si>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</si>
  <si>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</si>
  <si>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</si>
  <si>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</si>
  <si>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</si>
  <si>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</si>
  <si>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</si>
  <si>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</si>
  <si>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</si>
  <si>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</si>
  <si>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</si>
  <si>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</si>
  <si>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</si>
  <si>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</si>
  <si>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</si>
  <si>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</si>
  <si>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</si>
  <si>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</si>
  <si>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</si>
  <si>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</si>
  <si>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</si>
  <si>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</si>
  <si>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</si>
  <si>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</si>
  <si>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</si>
  <si>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</si>
  <si>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</si>
  <si>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</si>
  <si>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</si>
  <si>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</si>
  <si>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</si>
  <si>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</si>
  <si>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</si>
  <si>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</si>
  <si>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</si>
  <si>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</si>
  <si>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</si>
  <si>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</si>
  <si>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</si>
  <si>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</si>
  <si>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</si>
  <si>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</si>
  <si>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</si>
  <si>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</si>
  <si>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</si>
  <si>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</si>
  <si>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</si>
  <si>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</si>
  <si>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</si>
  <si>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</si>
  <si>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</si>
  <si>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</si>
  <si>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</si>
  <si>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</si>
  <si>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</si>
  <si>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</si>
  <si>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</si>
  <si>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</si>
  <si>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</si>
  <si>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</si>
  <si>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</si>
  <si>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</si>
  <si>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</si>
  <si>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</si>
  <si>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</si>
  <si>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</si>
  <si>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</si>
  <si>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</si>
  <si>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</si>
  <si>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</si>
  <si>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</si>
  <si>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</si>
  <si>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</si>
  <si>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</si>
  <si>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</si>
  <si>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</si>
  <si>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</si>
  <si>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</si>
  <si>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</si>
  <si>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</si>
  <si>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</si>
  <si>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</si>
  <si>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</si>
  <si>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</si>
  <si>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</si>
  <si>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</si>
  <si>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</si>
  <si>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</si>
  <si>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</si>
  <si>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</si>
  <si>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</si>
  <si>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</si>
  <si>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</si>
  <si>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</si>
  <si>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</si>
  <si>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</si>
  <si>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</si>
  <si>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</si>
  <si>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</si>
  <si>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</si>
  <si>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</si>
  <si>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</si>
  <si>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</si>
  <si>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</si>
  <si>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</si>
  <si>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</si>
  <si>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</si>
  <si>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</si>
  <si>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</si>
  <si>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</si>
  <si>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</si>
  <si>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</si>
  <si>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</si>
  <si>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</si>
  <si>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</si>
  <si>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</si>
  <si>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</si>
  <si>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</si>
  <si>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</si>
  <si>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</si>
  <si>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</si>
  <si>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</si>
  <si>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</si>
  <si>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</si>
  <si>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</si>
  <si>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</si>
  <si>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</si>
  <si>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</si>
  <si>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</si>
  <si>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</si>
  <si>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</si>
  <si>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</si>
  <si>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</si>
  <si>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</si>
  <si>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</si>
  <si>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</si>
  <si>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</si>
  <si>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</si>
  <si>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</si>
  <si>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</si>
  <si>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</si>
  <si>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</si>
  <si>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</si>
  <si>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</si>
  <si>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</si>
  <si>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</si>
  <si>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</si>
  <si>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</si>
  <si>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</si>
  <si>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</si>
  <si>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</si>
  <si>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</si>
  <si>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</si>
  <si>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</si>
  <si>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</si>
  <si>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</si>
  <si>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</si>
  <si>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</si>
  <si>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</si>
  <si>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</si>
  <si>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</si>
  <si>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</si>
  <si>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</si>
  <si>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</si>
  <si>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</si>
  <si>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</si>
  <si>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</si>
  <si>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</si>
  <si>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</si>
  <si>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</si>
  <si>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</si>
  <si>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</si>
  <si>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</si>
  <si>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</si>
  <si>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</si>
  <si>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</si>
  <si>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</si>
  <si>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</si>
  <si>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</si>
  <si>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</si>
  <si>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</si>
  <si>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</si>
  <si>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</si>
  <si>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</si>
  <si>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</si>
  <si>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</si>
  <si>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</si>
  <si>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</si>
  <si>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</si>
  <si>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</si>
  <si>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</si>
  <si>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</si>
  <si>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</si>
  <si>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</si>
  <si>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</si>
  <si>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</si>
  <si>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</si>
  <si>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</si>
  <si>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</si>
  <si>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</si>
  <si>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</si>
  <si>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</si>
  <si>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</si>
  <si>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</si>
  <si>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</si>
  <si>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</si>
  <si>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</si>
  <si>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</si>
  <si>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</si>
  <si>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</si>
  <si>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</si>
  <si>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</si>
  <si>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</si>
  <si>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</si>
  <si>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</si>
  <si>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</si>
  <si>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</si>
  <si>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</si>
  <si>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</si>
  <si>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</si>
  <si>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</si>
  <si>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</si>
  <si>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</si>
  <si>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</si>
  <si>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</si>
  <si>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</si>
  <si>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</si>
  <si>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</si>
  <si>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</si>
  <si>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</si>
  <si>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</si>
  <si>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</si>
  <si>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</si>
  <si>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</si>
  <si>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</si>
  <si>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</si>
  <si>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</si>
  <si>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</si>
  <si>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</si>
  <si>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</si>
  <si>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</si>
  <si>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</si>
  <si>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</si>
  <si>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</si>
  <si>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</si>
  <si>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</si>
  <si>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</si>
  <si>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</si>
  <si>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</si>
  <si>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</si>
  <si>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</si>
  <si>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</si>
  <si>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</si>
  <si>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</si>
  <si>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</si>
  <si>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</si>
  <si>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</si>
  <si>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</si>
  <si>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</si>
  <si>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</si>
  <si>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</si>
  <si>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</si>
  <si>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</si>
  <si>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</si>
  <si>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</si>
  <si>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</si>
  <si>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</si>
  <si>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</si>
  <si>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</si>
  <si>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</si>
  <si>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</si>
  <si>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</si>
  <si>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</si>
  <si>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</si>
  <si>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</si>
  <si>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</si>
  <si>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</si>
  <si>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</si>
  <si>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</si>
  <si>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</si>
  <si>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</si>
  <si>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</si>
  <si>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</si>
  <si>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</si>
  <si>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</si>
  <si>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</si>
  <si>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</si>
  <si>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</si>
  <si>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</si>
  <si>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</si>
  <si>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</si>
  <si>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</si>
  <si>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</si>
  <si>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</si>
  <si>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</si>
  <si>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</si>
  <si>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</si>
  <si>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</si>
  <si>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</si>
  <si>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</si>
  <si>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</si>
  <si>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</si>
  <si>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</si>
  <si>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</si>
  <si>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</si>
  <si>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</si>
  <si>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</si>
  <si>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</si>
  <si>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</si>
  <si>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</si>
  <si>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</si>
  <si>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</si>
  <si>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</si>
  <si>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</si>
  <si>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</si>
  <si>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</si>
  <si>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</si>
  <si>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</si>
  <si>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</si>
  <si>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</si>
  <si>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</si>
  <si>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</si>
  <si>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</si>
  <si>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</si>
  <si>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</si>
  <si>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</si>
  <si>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</si>
  <si>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</si>
  <si>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</si>
  <si>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</si>
  <si>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</si>
  <si>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</si>
  <si>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</si>
  <si>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</si>
  <si>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</si>
  <si>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</si>
  <si>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</si>
  <si>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</si>
  <si>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</si>
  <si>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</si>
  <si>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</si>
  <si>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</si>
  <si>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</si>
  <si>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</si>
  <si>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</si>
  <si>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</si>
  <si>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</si>
  <si>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</si>
  <si>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</si>
  <si>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</si>
  <si>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</si>
  <si>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</si>
  <si>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</si>
  <si>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</si>
  <si>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</si>
  <si>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</si>
  <si>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</si>
  <si>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</si>
  <si>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</si>
  <si>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</si>
  <si>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</si>
  <si>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</si>
  <si>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</si>
  <si>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</si>
  <si>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</si>
  <si>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</si>
  <si>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</si>
  <si>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</si>
  <si>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</si>
  <si>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</si>
  <si>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</si>
  <si>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</si>
  <si>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</si>
  <si>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</si>
  <si>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</si>
  <si>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</si>
  <si>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</si>
  <si>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</si>
  <si>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</si>
  <si>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</si>
  <si>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</si>
  <si>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</si>
  <si>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</si>
  <si>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</si>
  <si>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</si>
  <si>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</si>
  <si>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</si>
  <si>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</si>
  <si>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</si>
  <si>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</si>
  <si>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</si>
  <si>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</si>
  <si>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</si>
  <si>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</si>
  <si>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</si>
  <si>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</si>
  <si>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</si>
  <si>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</si>
  <si>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</si>
  <si>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</si>
  <si>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</si>
  <si>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</si>
  <si>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</si>
  <si>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</si>
  <si>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</si>
  <si>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</si>
  <si>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</si>
  <si>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</si>
  <si>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</si>
  <si>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</si>
  <si>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</si>
  <si>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</si>
  <si>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</si>
  <si>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</si>
  <si>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</si>
  <si>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</si>
  <si>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</si>
  <si>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</si>
  <si>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</si>
  <si>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</si>
  <si>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</si>
  <si>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</si>
  <si>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</si>
  <si>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</si>
  <si>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</si>
  <si>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</si>
  <si>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</si>
  <si>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</si>
  <si>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</si>
  <si>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</si>
  <si>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</si>
  <si>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</si>
  <si>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</si>
  <si>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</si>
  <si>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</si>
  <si>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</si>
  <si>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</si>
  <si>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</si>
  <si>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</si>
  <si>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</si>
  <si>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</si>
  <si>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</si>
  <si>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</si>
  <si>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</si>
  <si>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</si>
  <si>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</si>
  <si>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</si>
  <si>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</si>
  <si>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</si>
  <si>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</si>
  <si>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</si>
  <si>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</si>
  <si>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</si>
  <si>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</si>
  <si>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</si>
  <si>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</si>
  <si>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</si>
  <si>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</si>
  <si>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</si>
  <si>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</si>
  <si>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</si>
  <si>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</si>
  <si>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</si>
  <si>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</si>
  <si>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</si>
  <si>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</si>
  <si>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</si>
  <si>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</si>
  <si>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</si>
  <si>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</si>
  <si>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</si>
  <si>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</si>
  <si>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</si>
  <si>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</si>
  <si>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</si>
  <si>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</si>
  <si>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</si>
  <si>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</si>
  <si>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</si>
  <si>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</si>
  <si>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</si>
  <si>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</si>
  <si>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</si>
  <si>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</si>
  <si>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</si>
  <si>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</si>
  <si>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</si>
  <si>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</si>
  <si>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</si>
  <si>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</si>
  <si>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</si>
  <si>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</si>
  <si>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</si>
  <si>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</si>
  <si>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</si>
  <si>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</si>
  <si>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</si>
  <si>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</si>
  <si>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</si>
  <si>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</si>
  <si>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</si>
  <si>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</si>
  <si>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</si>
  <si>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</si>
  <si>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</si>
  <si>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</si>
  <si>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</si>
  <si>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</si>
  <si>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</si>
  <si>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</si>
  <si>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</si>
  <si>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</si>
  <si>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</si>
  <si>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</si>
  <si>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</si>
  <si>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</si>
  <si>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</si>
  <si>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</si>
  <si>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</si>
  <si>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</si>
  <si>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</si>
  <si>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</si>
  <si>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</si>
  <si>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</si>
  <si>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</si>
  <si>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</si>
  <si>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</si>
  <si>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</si>
  <si>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</si>
  <si>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</si>
  <si>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</si>
  <si>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</si>
  <si>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</si>
  <si>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</si>
  <si>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</si>
  <si>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</si>
  <si>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</si>
  <si>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</si>
  <si>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</si>
  <si>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</si>
  <si>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</si>
  <si>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</si>
  <si>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</si>
  <si>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</si>
  <si>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</si>
  <si>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</si>
  <si>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</si>
  <si>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</si>
  <si>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</si>
  <si>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</si>
  <si>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</si>
  <si>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</si>
  <si>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</si>
  <si>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</si>
  <si>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</si>
  <si>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</si>
  <si>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</si>
  <si>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</si>
  <si>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</si>
  <si>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</si>
  <si>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</si>
  <si>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</si>
  <si>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</si>
  <si>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</si>
  <si>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</si>
  <si>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</si>
  <si>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</si>
  <si>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</si>
  <si>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</si>
  <si>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</si>
  <si>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</si>
  <si>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</si>
  <si>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</si>
  <si>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</si>
  <si>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</si>
  <si>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</si>
  <si>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</si>
  <si>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</si>
  <si>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</si>
  <si>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</si>
  <si>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</si>
  <si>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</si>
  <si>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</si>
  <si>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</si>
  <si>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</si>
  <si>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</si>
  <si>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</si>
  <si>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</si>
  <si>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</si>
  <si>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</si>
  <si>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</si>
  <si>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</si>
  <si>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</si>
  <si>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</si>
  <si>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</si>
  <si>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</si>
  <si>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</si>
  <si>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</si>
  <si>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</si>
  <si>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</si>
  <si>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</si>
  <si>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</si>
  <si>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</si>
  <si>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</si>
  <si>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</si>
  <si>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</si>
  <si>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</si>
  <si>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</si>
  <si>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</si>
  <si>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</si>
  <si>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</si>
  <si>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</si>
  <si>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</si>
  <si>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</si>
  <si>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</si>
  <si>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</si>
  <si>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</si>
  <si>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</si>
  <si>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</si>
  <si>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</si>
  <si>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</si>
  <si>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</si>
  <si>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</si>
  <si>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</si>
  <si>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</si>
  <si>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</si>
  <si>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</si>
  <si>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</si>
  <si>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</si>
  <si>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</si>
  <si>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</si>
  <si>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</si>
  <si>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</si>
  <si>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</si>
  <si>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</si>
  <si>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</si>
  <si>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</si>
  <si>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</si>
  <si>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</si>
  <si>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</si>
  <si>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</si>
  <si>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</si>
  <si>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</si>
  <si>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</si>
  <si>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</si>
  <si>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</si>
  <si>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</si>
  <si>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</si>
  <si>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</si>
  <si>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</si>
  <si>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</si>
  <si>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</si>
  <si>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</si>
  <si>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</si>
  <si>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</si>
  <si>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</si>
  <si>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</si>
  <si>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</si>
  <si>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</si>
  <si>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</si>
  <si>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</si>
  <si>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</si>
  <si>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</si>
  <si>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</si>
  <si>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</si>
  <si>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</si>
  <si>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</si>
  <si>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</si>
  <si>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</si>
  <si>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</si>
  <si>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</si>
  <si>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</si>
  <si>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</si>
  <si>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</si>
  <si>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</si>
  <si>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</si>
  <si>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</si>
  <si>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</si>
  <si>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</si>
  <si>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</si>
  <si>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</si>
  <si>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</si>
  <si>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</si>
  <si>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</si>
  <si>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</si>
  <si>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</si>
  <si>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</si>
  <si>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</si>
  <si>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</si>
  <si>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</si>
  <si>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</si>
  <si>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</si>
  <si>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</si>
  <si>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</si>
  <si>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</si>
  <si>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</si>
  <si>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</si>
  <si>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</si>
  <si>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</si>
  <si>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</si>
  <si>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</si>
  <si>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</si>
  <si>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</si>
  <si>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</si>
  <si>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</si>
  <si>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</si>
  <si>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</si>
  <si>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</si>
  <si>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</si>
  <si>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</si>
  <si>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</si>
  <si>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</si>
  <si>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</si>
  <si>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</si>
  <si>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</si>
  <si>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</si>
  <si>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</si>
  <si>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</si>
  <si>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</si>
  <si>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</si>
  <si>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</si>
  <si>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</si>
  <si>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</si>
  <si>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</si>
  <si>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</si>
  <si>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</si>
  <si>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</si>
  <si>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</si>
  <si>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</si>
  <si>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</si>
  <si>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</si>
  <si>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</si>
  <si>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</si>
  <si>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</si>
  <si>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</si>
  <si>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</si>
  <si>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</si>
  <si>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</si>
  <si>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</si>
  <si>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</si>
  <si>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</si>
  <si>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</si>
  <si>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</si>
  <si>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</si>
  <si>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</si>
  <si>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</si>
  <si>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</si>
  <si>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</si>
  <si>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</si>
  <si>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</si>
  <si>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</si>
  <si>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</si>
  <si>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</si>
  <si>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</si>
  <si>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</si>
  <si>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</si>
  <si>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</si>
  <si>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</si>
  <si>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</si>
  <si>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</si>
  <si>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</si>
  <si>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</si>
  <si>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</si>
  <si>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</si>
  <si>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</si>
  <si>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</si>
  <si>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</si>
  <si>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</si>
  <si>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</si>
  <si>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</si>
  <si>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</si>
  <si>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</si>
  <si>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</si>
  <si>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</si>
  <si>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</si>
  <si>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</si>
  <si>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</si>
  <si>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</si>
  <si>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</si>
  <si>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</si>
  <si>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</si>
  <si>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</si>
  <si>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</si>
  <si>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</si>
  <si>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</si>
  <si>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</si>
  <si>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</si>
  <si>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</si>
  <si>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</si>
  <si>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</si>
  <si>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</si>
  <si>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</si>
  <si>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</si>
  <si>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</si>
  <si>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</si>
  <si>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</si>
  <si>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</si>
  <si>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</si>
  <si>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</si>
  <si>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</si>
  <si>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</si>
  <si>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</si>
  <si>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</si>
  <si>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</si>
  <si>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</si>
  <si>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</si>
  <si>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</si>
  <si>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</si>
  <si>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</si>
  <si>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</si>
  <si>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</si>
  <si>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</si>
  <si>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</si>
  <si>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</si>
  <si>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</si>
  <si>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</si>
  <si>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</si>
  <si>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</si>
  <si>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</si>
  <si>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</si>
  <si>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</si>
  <si>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</si>
  <si>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</si>
  <si>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</si>
  <si>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</si>
  <si>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</si>
  <si>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</si>
  <si>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</si>
  <si>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</si>
  <si>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</si>
  <si>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</si>
  <si>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</si>
  <si>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</si>
  <si>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</si>
  <si>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</si>
  <si>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</si>
  <si>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</si>
  <si>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</si>
  <si>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</si>
  <si>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</si>
  <si>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</si>
  <si>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</si>
  <si>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</si>
  <si>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</si>
  <si>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</si>
  <si>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</si>
  <si>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</si>
  <si>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</si>
  <si>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</si>
  <si>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</si>
  <si>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</si>
  <si>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</si>
  <si>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</si>
  <si>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</si>
  <si>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</si>
  <si>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</si>
  <si>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</si>
  <si>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</si>
  <si>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</si>
  <si>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</si>
  <si>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</si>
  <si>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</si>
  <si>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</si>
  <si>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</si>
  <si>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</si>
  <si>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</si>
  <si>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</si>
  <si>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</si>
  <si>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</si>
  <si>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</si>
  <si>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</si>
  <si>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</si>
  <si>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</si>
  <si>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</si>
  <si>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</si>
  <si>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</si>
  <si>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</si>
  <si>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</si>
  <si>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</si>
  <si>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</si>
  <si>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</si>
  <si>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</si>
  <si>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</si>
  <si>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</si>
  <si>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</si>
  <si>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</si>
  <si>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</si>
  <si>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</si>
  <si>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</si>
  <si>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</si>
  <si>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</si>
  <si>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</si>
  <si>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</si>
  <si>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</si>
  <si>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</si>
  <si>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</si>
  <si>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</si>
  <si>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</si>
  <si>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</si>
  <si>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</si>
  <si>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</si>
  <si>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</si>
  <si>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</si>
  <si>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</si>
  <si>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</si>
  <si>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</si>
  <si>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</si>
  <si>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</si>
  <si>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</si>
  <si>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</si>
  <si>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</si>
  <si>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</si>
  <si>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</si>
  <si>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</si>
  <si>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</si>
  <si>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</si>
  <si>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</si>
  <si>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</si>
  <si>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</si>
  <si>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</si>
  <si>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</si>
  <si>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</si>
  <si>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</si>
  <si>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</si>
  <si>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</si>
  <si>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</si>
  <si>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</si>
  <si>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</si>
  <si>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</si>
  <si>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</si>
  <si>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</si>
  <si>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</si>
  <si>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</si>
  <si>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</si>
  <si>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</si>
  <si>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</si>
  <si>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</si>
  <si>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</si>
  <si>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</si>
  <si>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</si>
  <si>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</si>
  <si>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</si>
  <si>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</si>
  <si>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</si>
  <si>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</si>
  <si>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</si>
  <si>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</si>
  <si>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</si>
  <si>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</si>
  <si>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</si>
  <si>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</si>
  <si>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</si>
  <si>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</si>
  <si>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</si>
  <si>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</si>
  <si>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</si>
  <si>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</si>
  <si>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</si>
  <si>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</si>
  <si>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</si>
  <si>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</si>
  <si>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</si>
  <si>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</si>
  <si>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</si>
  <si>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</si>
  <si>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</si>
  <si>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</si>
  <si>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</si>
  <si>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</si>
  <si>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</si>
  <si>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</si>
  <si>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</si>
  <si>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</si>
  <si>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</si>
  <si>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</si>
  <si>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</si>
  <si>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</si>
  <si>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</si>
  <si>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</si>
  <si>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</si>
  <si>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</si>
  <si>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</si>
  <si>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</si>
  <si>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</si>
  <si>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</si>
  <si>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</si>
  <si>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</si>
  <si>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</si>
  <si>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</si>
  <si>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</si>
  <si>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</si>
  <si>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</si>
  <si>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</si>
  <si>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</si>
  <si>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</si>
  <si>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</si>
  <si>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</si>
  <si>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</si>
  <si>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</si>
  <si>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</si>
  <si>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</si>
  <si>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</si>
  <si>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</si>
  <si>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</si>
  <si>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</si>
  <si>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</si>
  <si>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</si>
  <si>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</si>
  <si>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</si>
  <si>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</si>
  <si>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</si>
  <si>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</si>
  <si>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</si>
  <si>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</si>
  <si>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</si>
  <si>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</si>
  <si>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</si>
  <si>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</si>
  <si>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</si>
  <si>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</si>
  <si>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</si>
  <si>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</si>
  <si>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</si>
  <si>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</si>
  <si>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</si>
  <si>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</si>
  <si>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</si>
  <si>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</si>
  <si>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</si>
  <si>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</si>
  <si>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</si>
  <si>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</si>
  <si>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</si>
  <si>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</si>
  <si>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</si>
  <si>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</si>
  <si>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</si>
  <si>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</si>
  <si>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</si>
  <si>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</si>
  <si>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</si>
  <si>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</si>
  <si>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</si>
  <si>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</si>
  <si>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</si>
  <si>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</si>
  <si>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</si>
  <si>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</si>
  <si>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</si>
  <si>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</si>
  <si>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</si>
  <si>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</si>
  <si>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</si>
  <si>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</si>
  <si>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</si>
  <si>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</si>
  <si>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</si>
  <si>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</si>
  <si>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</si>
  <si>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</si>
  <si>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</si>
  <si>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</si>
  <si>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</si>
  <si>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</si>
  <si>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</si>
  <si>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</si>
  <si>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</si>
  <si>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</si>
  <si>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</si>
  <si>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</si>
  <si>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</si>
  <si>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</si>
  <si>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</si>
  <si>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</si>
  <si>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</si>
  <si>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</si>
  <si>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</si>
  <si>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</si>
  <si>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</si>
  <si>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</si>
  <si>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</si>
  <si>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</si>
  <si>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</si>
  <si>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</si>
  <si>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</si>
  <si>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</si>
  <si>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</si>
  <si>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</si>
  <si>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</si>
  <si>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</si>
  <si>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</si>
  <si>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</si>
  <si>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</si>
  <si>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</si>
  <si>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</si>
  <si>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</si>
  <si>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</si>
  <si>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</si>
  <si>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</si>
  <si>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</si>
  <si>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</si>
  <si>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</si>
  <si>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</si>
  <si>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</si>
  <si>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</si>
  <si>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</si>
  <si>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</si>
  <si>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</si>
  <si>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</si>
  <si>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</si>
  <si>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</si>
  <si>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</si>
  <si>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</si>
  <si>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</si>
  <si>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</si>
  <si>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</si>
  <si>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</si>
  <si>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</si>
  <si>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</si>
  <si>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</si>
  <si>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</si>
  <si>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</si>
  <si>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</si>
  <si>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</si>
  <si>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</si>
  <si>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</si>
  <si>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</si>
  <si>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</si>
  <si>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</si>
  <si>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</si>
  <si>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</si>
  <si>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</si>
  <si>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</si>
  <si>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</si>
  <si>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</si>
  <si>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</si>
  <si>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</si>
  <si>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</si>
  <si>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</si>
  <si>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</si>
  <si>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</si>
  <si>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</si>
  <si>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</si>
  <si>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</si>
  <si>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</si>
  <si>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</si>
  <si>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</si>
  <si>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</si>
  <si>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</si>
  <si>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</si>
  <si>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</si>
  <si>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</si>
  <si>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</si>
  <si>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</si>
  <si>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</si>
  <si>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</si>
  <si>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</si>
  <si>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</si>
  <si>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</si>
  <si>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</si>
  <si>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</si>
  <si>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</si>
  <si>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</si>
  <si>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</si>
  <si>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</si>
  <si>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</si>
  <si>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</si>
  <si>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</si>
  <si>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</si>
  <si>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</si>
  <si>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</si>
  <si>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</si>
  <si>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</si>
  <si>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</si>
  <si>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</si>
  <si>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</si>
  <si>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</si>
  <si>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</si>
  <si>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</si>
  <si>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</si>
  <si>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</si>
  <si>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</si>
  <si>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</si>
  <si>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</si>
  <si>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</si>
  <si>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</si>
  <si>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</si>
  <si>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</si>
  <si>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</si>
  <si>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</si>
  <si>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</si>
  <si>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</si>
  <si>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</si>
  <si>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</si>
  <si>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</si>
  <si>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</si>
  <si>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</si>
  <si>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</si>
  <si>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</si>
  <si>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</si>
  <si>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</si>
  <si>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</si>
  <si>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</si>
  <si>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</si>
  <si>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</si>
  <si>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</si>
  <si>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</si>
  <si>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</si>
  <si>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</si>
  <si>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</si>
  <si>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</si>
  <si>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</si>
  <si>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</si>
  <si>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</si>
  <si>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</si>
  <si>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</si>
  <si>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</si>
  <si>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</si>
  <si>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</si>
  <si>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</si>
  <si>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</si>
  <si>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</si>
  <si>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</si>
  <si>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</si>
  <si>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</si>
  <si>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</si>
  <si>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</si>
  <si>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</si>
  <si>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</si>
  <si>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</si>
  <si>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</si>
  <si>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</si>
  <si>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</si>
  <si>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</si>
  <si>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</si>
  <si>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</si>
  <si>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</si>
  <si>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</si>
  <si>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</si>
  <si>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</si>
  <si>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</si>
  <si>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</si>
  <si>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</si>
  <si>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</si>
  <si>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</si>
  <si>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</si>
  <si>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</si>
  <si>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</si>
  <si>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</si>
  <si>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</si>
  <si>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</si>
  <si>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</si>
  <si>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</si>
  <si>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</si>
  <si>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</si>
  <si>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</si>
  <si>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</si>
  <si>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</si>
  <si>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</si>
  <si>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</si>
  <si>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</si>
  <si>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</si>
  <si>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</si>
  <si>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</si>
  <si>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</si>
  <si>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</si>
  <si>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</si>
  <si>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</si>
  <si>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</si>
  <si>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</si>
  <si>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</si>
  <si>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</si>
  <si>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</si>
  <si>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</si>
  <si>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</si>
  <si>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</si>
  <si>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</si>
  <si>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</si>
  <si>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</si>
  <si>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</si>
  <si>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</si>
  <si>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</si>
  <si>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</si>
  <si>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</si>
  <si>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</si>
  <si>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</si>
  <si>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</si>
  <si>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</si>
  <si>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</si>
  <si>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</si>
  <si>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</si>
  <si>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</si>
  <si>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</si>
  <si>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</si>
  <si>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</si>
  <si>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</si>
  <si>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</si>
  <si>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</si>
  <si>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</si>
  <si>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</si>
  <si>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</si>
  <si>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</si>
  <si>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</si>
  <si>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</si>
  <si>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</si>
  <si>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</si>
  <si>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</si>
  <si>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</si>
  <si>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</si>
  <si>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</si>
  <si>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</si>
  <si>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</si>
  <si>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</si>
  <si>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</si>
  <si>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</si>
  <si>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</si>
  <si>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</si>
  <si>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</si>
  <si>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</si>
  <si>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</si>
  <si>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</si>
  <si>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</si>
  <si>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</si>
  <si>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</si>
  <si>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</si>
  <si>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</si>
  <si>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</si>
  <si>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</si>
  <si>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</si>
  <si>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</si>
  <si>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</si>
  <si>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</si>
  <si>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</si>
  <si>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</si>
  <si>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</si>
  <si>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</si>
  <si>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</si>
  <si>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</si>
  <si>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</si>
  <si>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</si>
  <si>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</si>
  <si>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</si>
  <si>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</si>
  <si>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</si>
  <si>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</si>
  <si>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</si>
  <si>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</si>
  <si>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</si>
  <si>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</si>
  <si>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</si>
  <si>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</si>
  <si>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</si>
  <si>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</si>
  <si>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</si>
  <si>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</si>
  <si>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</si>
  <si>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</si>
  <si>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</si>
  <si>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</si>
  <si>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</si>
  <si>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</si>
  <si>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</si>
  <si>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</si>
  <si>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</si>
  <si>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</si>
  <si>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</si>
  <si>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</si>
  <si>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</si>
  <si>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</si>
  <si>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</si>
  <si>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</si>
  <si>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</si>
  <si>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</si>
  <si>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</si>
  <si>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</si>
  <si>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</si>
  <si>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</si>
  <si>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</si>
  <si>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</si>
  <si>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</si>
  <si>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</si>
  <si>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</si>
  <si>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</si>
  <si>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</si>
  <si>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</si>
  <si>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</si>
  <si>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</si>
  <si>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</si>
  <si>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</si>
  <si>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</si>
  <si>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</si>
  <si>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</si>
  <si>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</si>
  <si>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</si>
  <si>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</si>
  <si>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</si>
  <si>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</si>
  <si>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</si>
  <si>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</si>
  <si>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</si>
  <si>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</si>
  <si>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</si>
  <si>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</si>
  <si>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</si>
  <si>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</si>
  <si>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</si>
  <si>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</si>
  <si>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</si>
  <si>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</si>
  <si>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</si>
  <si>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</si>
  <si>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</si>
  <si>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</si>
  <si>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</si>
  <si>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</si>
  <si>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</si>
  <si>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</si>
  <si>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</si>
  <si>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</si>
  <si>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</si>
  <si>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</si>
  <si>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</si>
  <si>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</si>
  <si>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</si>
  <si>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</si>
  <si>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</si>
  <si>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</si>
  <si>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</si>
  <si>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</si>
  <si>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</si>
  <si>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</si>
  <si>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</si>
  <si>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</si>
  <si>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</si>
  <si>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</si>
  <si>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</si>
  <si>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</si>
  <si>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</si>
  <si>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</si>
  <si>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</si>
  <si>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</si>
  <si>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</si>
  <si>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</si>
  <si>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</si>
  <si>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</si>
  <si>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</si>
  <si>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</si>
  <si>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</si>
  <si>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</si>
  <si>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</si>
  <si>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</si>
  <si>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</si>
  <si>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</si>
  <si>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</si>
  <si>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</si>
  <si>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</si>
  <si>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</si>
  <si>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</si>
  <si>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</si>
  <si>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</si>
  <si>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</si>
  <si>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</si>
  <si>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</si>
  <si>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</si>
  <si>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</si>
  <si>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</si>
  <si>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</si>
  <si>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</si>
  <si>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</si>
  <si>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</si>
  <si>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</si>
  <si>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</si>
  <si>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</si>
  <si>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</si>
  <si>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</si>
  <si>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</si>
  <si>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</si>
  <si>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</si>
  <si>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</si>
  <si>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</si>
  <si>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</si>
  <si>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</si>
  <si>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</si>
  <si>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</si>
  <si>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</si>
  <si>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</si>
  <si>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</si>
  <si>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</si>
  <si>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</si>
  <si>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</si>
  <si>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</si>
  <si>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</si>
  <si>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</si>
  <si>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</si>
  <si>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</si>
  <si>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</si>
  <si>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</si>
  <si>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</si>
  <si>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</si>
  <si>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</si>
  <si>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</si>
  <si>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</si>
  <si>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</si>
  <si>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</si>
  <si>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</si>
  <si>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</si>
  <si>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</si>
  <si>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</si>
  <si>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</si>
  <si>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</si>
  <si>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</si>
  <si>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</si>
  <si>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</si>
  <si>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</si>
  <si>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</si>
  <si>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</si>
  <si>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</si>
  <si>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</si>
  <si>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</si>
  <si>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</si>
  <si>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</si>
  <si>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</si>
  <si>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</si>
  <si>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</si>
  <si>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</si>
  <si>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</si>
  <si>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</si>
  <si>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</si>
  <si>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</si>
  <si>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</si>
  <si>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</si>
  <si>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</si>
  <si>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</si>
  <si>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</si>
  <si>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</si>
  <si>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</si>
  <si>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</si>
  <si>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</si>
  <si>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</si>
  <si>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</si>
  <si>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</si>
  <si>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</si>
  <si>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</si>
  <si>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</si>
  <si>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</si>
  <si>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</si>
  <si>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</si>
  <si>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</si>
  <si>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</si>
  <si>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</si>
  <si>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</si>
  <si>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</si>
  <si>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</si>
  <si>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</si>
  <si>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</si>
  <si>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</si>
  <si>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</si>
  <si>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</si>
  <si>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</si>
  <si>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</si>
  <si>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</si>
  <si>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</si>
  <si>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</si>
  <si>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</si>
  <si>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</si>
  <si>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</si>
  <si>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</si>
  <si>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</si>
  <si>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</si>
  <si>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</si>
  <si>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</si>
  <si>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</si>
  <si>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</si>
  <si>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</si>
  <si>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</si>
  <si>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</si>
  <si>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</si>
  <si>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</si>
  <si>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</si>
  <si>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</si>
  <si>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</si>
  <si>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</si>
  <si>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</si>
  <si>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</si>
  <si>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</si>
  <si>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</si>
  <si>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</si>
  <si>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</si>
  <si>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</si>
  <si>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</si>
  <si>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</si>
  <si>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</si>
  <si>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</si>
  <si>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</si>
  <si>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</si>
  <si>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</si>
  <si>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</si>
  <si>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</si>
  <si>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</si>
  <si>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</si>
  <si>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</si>
  <si>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</si>
  <si>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</si>
  <si>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</si>
  <si>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</si>
  <si>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</si>
  <si>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</si>
  <si>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</si>
  <si>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</si>
  <si>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</si>
  <si>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</si>
  <si>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</si>
  <si>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</si>
  <si>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</si>
  <si>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</si>
  <si>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</si>
  <si>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</si>
  <si>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</si>
  <si>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</si>
  <si>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</si>
  <si>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</si>
  <si>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</si>
  <si>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</si>
  <si>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</si>
  <si>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</si>
  <si>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</si>
  <si>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</si>
  <si>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</si>
  <si>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</si>
  <si>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</si>
  <si>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</si>
  <si>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</si>
  <si>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</si>
  <si>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</si>
  <si>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</si>
  <si>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</si>
  <si>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</si>
  <si>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</si>
  <si>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</si>
  <si>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</si>
  <si>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</si>
  <si>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</si>
  <si>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</si>
  <si>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</si>
  <si>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</si>
  <si>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</si>
  <si>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</si>
  <si>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</si>
  <si>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</si>
  <si>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</si>
  <si>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</si>
  <si>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</si>
  <si>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</si>
  <si>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</si>
  <si>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</si>
  <si>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</si>
  <si>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</si>
  <si>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</si>
  <si>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</si>
  <si>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</si>
  <si>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</si>
  <si>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</si>
  <si>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</si>
  <si>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</si>
  <si>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</si>
  <si>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</si>
  <si>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</si>
  <si>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</si>
  <si>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</si>
  <si>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</si>
  <si>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</si>
  <si>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</si>
  <si>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</si>
  <si>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</si>
  <si>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</si>
  <si>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</si>
  <si>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</si>
  <si>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</si>
  <si>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</si>
  <si>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</si>
  <si>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</si>
  <si>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</si>
  <si>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</si>
  <si>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</si>
  <si>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</si>
  <si>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</si>
  <si>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</si>
  <si>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</si>
  <si>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</si>
  <si>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</si>
  <si>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</si>
  <si>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</si>
  <si>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</si>
  <si>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</si>
  <si>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</si>
  <si>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</si>
  <si>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</si>
  <si>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</si>
  <si>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</si>
  <si>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</si>
  <si>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</si>
  <si>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</si>
  <si>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</si>
  <si>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</si>
  <si>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</si>
  <si>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</si>
  <si>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</si>
  <si>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</si>
  <si>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</si>
  <si>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</si>
  <si>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</si>
  <si>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</si>
  <si>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</si>
  <si>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</si>
  <si>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</si>
  <si>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</si>
  <si>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</si>
  <si>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</si>
  <si>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</si>
  <si>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</si>
  <si>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</si>
  <si>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</si>
  <si>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</si>
  <si>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</si>
  <si>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</si>
  <si>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</si>
  <si>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</si>
  <si>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</si>
  <si>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</si>
  <si>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</si>
  <si>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</si>
  <si>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</si>
  <si>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</si>
  <si>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</si>
  <si>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</si>
  <si>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</si>
  <si>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</si>
  <si>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</si>
  <si>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</si>
  <si>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</si>
  <si>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</si>
  <si>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</si>
  <si>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</si>
  <si>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</si>
  <si>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</si>
  <si>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</si>
  <si>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</si>
  <si>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</si>
  <si>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</si>
  <si>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</si>
  <si>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</si>
  <si>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</si>
  <si>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</si>
  <si>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</si>
  <si>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</si>
  <si>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</si>
  <si>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</si>
  <si>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</si>
  <si>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</si>
  <si>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</si>
  <si>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</si>
  <si>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</si>
  <si>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</si>
  <si>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</si>
  <si>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</si>
  <si>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</si>
  <si>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</si>
  <si>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</si>
  <si>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</si>
  <si>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</si>
  <si>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</si>
  <si>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</si>
  <si>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</si>
  <si>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</si>
  <si>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</si>
  <si>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</si>
  <si>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</si>
  <si>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</si>
  <si>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</si>
  <si>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</si>
  <si>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</si>
  <si>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</si>
  <si>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</si>
  <si>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</si>
  <si>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</si>
  <si>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</si>
  <si>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</si>
  <si>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</si>
  <si>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</si>
  <si>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</si>
  <si>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</si>
  <si>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</si>
  <si>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</si>
  <si>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</si>
  <si>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</si>
  <si>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</si>
  <si>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</si>
  <si>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</si>
  <si>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</si>
  <si>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</si>
  <si>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</si>
  <si>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</si>
  <si>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</si>
  <si>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</si>
  <si>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</si>
  <si>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</si>
  <si>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</si>
  <si>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</si>
  <si>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</si>
  <si>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</si>
  <si>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</si>
  <si>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</si>
  <si>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</si>
  <si>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</si>
  <si>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</si>
  <si>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</si>
  <si>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</si>
  <si>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</si>
  <si>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</si>
  <si>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</si>
  <si>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</si>
  <si>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</si>
  <si>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</si>
  <si>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</si>
  <si>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</si>
  <si>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</si>
  <si>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</si>
  <si>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</si>
  <si>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</si>
  <si>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</si>
  <si>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</si>
  <si>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</si>
  <si>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</si>
  <si>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</si>
  <si>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</si>
  <si>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</si>
  <si>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</si>
  <si>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</si>
  <si>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</si>
  <si>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</si>
  <si>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</si>
  <si>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</si>
  <si>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</si>
  <si>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</si>
  <si>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</si>
  <si>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</si>
  <si>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</si>
  <si>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</si>
  <si>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</si>
  <si>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</si>
  <si>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</si>
  <si>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</si>
  <si>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</si>
  <si>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</si>
  <si>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</si>
  <si>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</si>
  <si>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</si>
  <si>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</si>
  <si>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</si>
  <si>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</si>
  <si>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</si>
  <si>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</si>
  <si>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</si>
  <si>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</si>
  <si>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</si>
  <si>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</si>
  <si>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</si>
  <si>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</si>
  <si>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</si>
  <si>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</si>
  <si>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</si>
  <si>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</si>
  <si>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</si>
  <si>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</si>
  <si>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</si>
  <si>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</si>
  <si>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</si>
  <si>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</si>
  <si>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</si>
  <si>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</si>
  <si>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</si>
  <si>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</si>
  <si>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</si>
  <si>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</si>
  <si>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</si>
  <si>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</si>
  <si>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</si>
  <si>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</si>
  <si>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</si>
  <si>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</si>
  <si>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</si>
  <si>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</si>
  <si>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</si>
  <si>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</si>
  <si>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</si>
  <si>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</si>
  <si>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</si>
  <si>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</si>
  <si>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</si>
  <si>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</si>
  <si>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</si>
  <si>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</si>
  <si>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</si>
  <si>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</si>
  <si>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</si>
  <si>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</si>
  <si>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</si>
  <si>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</si>
  <si>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</si>
  <si>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</si>
  <si>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</si>
  <si>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</si>
  <si>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</si>
  <si>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</si>
  <si>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</si>
  <si>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</si>
  <si>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</si>
  <si>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</si>
  <si>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</si>
  <si>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</si>
  <si>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</si>
  <si>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</si>
  <si>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</si>
  <si>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</si>
  <si>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</si>
  <si>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</si>
  <si>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</si>
  <si>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</si>
  <si>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</si>
  <si>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</si>
  <si>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</si>
  <si>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</si>
  <si>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</si>
  <si>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</si>
  <si>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</si>
  <si>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</si>
  <si>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</si>
  <si>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</si>
  <si>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</si>
  <si>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</si>
  <si>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</si>
  <si>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</si>
  <si>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</si>
  <si>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</si>
  <si>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</si>
  <si>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</si>
  <si>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</si>
  <si>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</si>
  <si>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</si>
  <si>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</si>
  <si>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</si>
  <si>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</si>
  <si>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</si>
  <si>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</si>
  <si>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</si>
  <si>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</si>
  <si>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</si>
  <si>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</si>
  <si>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</si>
  <si>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</si>
  <si>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</si>
  <si>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</si>
  <si>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</si>
  <si>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</si>
  <si>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</si>
  <si>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</si>
  <si>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</si>
  <si>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</si>
  <si>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</si>
  <si>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</si>
  <si>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</si>
  <si>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</si>
  <si>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</si>
  <si>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</si>
  <si>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</si>
  <si>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</si>
  <si>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</si>
  <si>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</si>
  <si>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</si>
  <si>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</si>
  <si>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</si>
  <si>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</si>
  <si>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</si>
  <si>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</si>
  <si>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</si>
  <si>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</si>
  <si>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</si>
  <si>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</si>
  <si>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</si>
  <si>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</si>
  <si>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</si>
  <si>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</si>
  <si>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</si>
  <si>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</si>
  <si>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</si>
  <si>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</si>
  <si>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</si>
  <si>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</si>
  <si>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</si>
  <si>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</si>
  <si>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</si>
  <si>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</si>
  <si>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</si>
  <si>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</si>
  <si>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</si>
  <si>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</si>
  <si>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</si>
  <si>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</si>
  <si>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</si>
  <si>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</si>
  <si>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</si>
  <si>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</si>
  <si>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</si>
  <si>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</si>
  <si>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</si>
  <si>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</si>
  <si>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</si>
  <si>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</si>
  <si>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</si>
  <si>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</si>
  <si>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</si>
  <si>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</si>
  <si>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</si>
  <si>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</si>
  <si>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</si>
  <si>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</si>
  <si>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</si>
  <si>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</si>
  <si>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</si>
  <si>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</si>
  <si>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</si>
  <si>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</si>
  <si>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</si>
  <si>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</si>
  <si>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</si>
  <si>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</si>
  <si>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</si>
  <si>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</si>
  <si>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</si>
  <si>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</si>
  <si>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</si>
  <si>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</si>
  <si>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</si>
  <si>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</si>
  <si>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</si>
  <si>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</si>
  <si>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</si>
  <si>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</si>
  <si>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</si>
  <si>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</si>
  <si>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</si>
  <si>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</si>
  <si>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</si>
  <si>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</si>
  <si>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</si>
  <si>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</si>
  <si>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</si>
  <si>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</si>
  <si>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</si>
  <si>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</si>
  <si>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</si>
  <si>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</si>
  <si>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</si>
  <si>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</si>
  <si>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</si>
  <si>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</si>
  <si>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</si>
  <si>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</si>
  <si>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</si>
  <si>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</si>
  <si>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</si>
  <si>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</si>
  <si>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</si>
  <si>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</si>
  <si>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</si>
  <si>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</si>
  <si>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</si>
  <si>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</si>
  <si>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</si>
  <si>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</si>
  <si>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</si>
  <si>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</si>
  <si>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</si>
  <si>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</si>
  <si>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</si>
  <si>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</si>
  <si>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</si>
  <si>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</si>
  <si>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</si>
  <si>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</si>
  <si>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</si>
  <si>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</si>
  <si>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</si>
  <si>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</si>
  <si>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</si>
  <si>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</si>
  <si>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</si>
  <si>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</si>
  <si>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</si>
  <si>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</si>
  <si>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</si>
  <si>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</si>
  <si>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</si>
  <si>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</si>
  <si>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</si>
  <si>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</si>
  <si>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</si>
  <si>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</si>
  <si>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</si>
  <si>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</si>
  <si>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</si>
  <si>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</si>
  <si>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</si>
  <si>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</si>
  <si>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</si>
  <si>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</si>
  <si>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</si>
  <si>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</si>
  <si>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</si>
  <si>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</si>
  <si>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</si>
  <si>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</si>
  <si>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</si>
  <si>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</si>
  <si>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</si>
  <si>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</si>
  <si>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</si>
  <si>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</si>
  <si>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</si>
  <si>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</si>
  <si>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</si>
  <si>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</si>
  <si>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</si>
  <si>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</si>
  <si>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</si>
  <si>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</si>
  <si>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</si>
  <si>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</si>
  <si>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</si>
  <si>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</si>
  <si>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</si>
  <si>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</si>
  <si>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</si>
  <si>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</si>
  <si>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</si>
  <si>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</si>
  <si>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</si>
  <si>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</si>
  <si>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</si>
  <si>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</si>
  <si>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</si>
  <si>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</si>
  <si>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</si>
  <si>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</si>
  <si>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</si>
  <si>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</si>
  <si>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</si>
  <si>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</si>
  <si>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</si>
  <si>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</si>
  <si>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</si>
  <si>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</si>
  <si>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</si>
  <si>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</si>
  <si>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</si>
  <si>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</si>
  <si>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</si>
  <si>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</si>
  <si>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</si>
  <si>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</si>
  <si>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</si>
  <si>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</si>
  <si>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</si>
  <si>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</si>
  <si>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</si>
  <si>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</si>
  <si>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</si>
  <si>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</si>
  <si>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</si>
  <si>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</si>
  <si>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</si>
  <si>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</si>
  <si>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</si>
  <si>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</si>
  <si>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</si>
  <si>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</si>
  <si>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</si>
  <si>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</si>
  <si>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</si>
  <si>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</si>
  <si>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</si>
  <si>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</si>
  <si>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</si>
  <si>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</si>
  <si>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</si>
  <si>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</si>
  <si>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</si>
  <si>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</si>
  <si>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</si>
  <si>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</si>
  <si>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</si>
  <si>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</si>
  <si>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</si>
  <si>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</si>
  <si>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</si>
  <si>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</si>
  <si>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</si>
  <si>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</si>
  <si>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</si>
  <si>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</si>
  <si>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</si>
  <si>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</si>
  <si>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</si>
  <si>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</si>
  <si>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</si>
  <si>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</si>
  <si>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</si>
  <si>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</si>
  <si>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</si>
  <si>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</si>
  <si>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</si>
  <si>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</si>
  <si>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</si>
  <si>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</si>
  <si>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</si>
  <si>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</si>
  <si>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</si>
  <si>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</si>
  <si>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</si>
  <si>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</si>
  <si>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</si>
  <si>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</si>
  <si>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</si>
  <si>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</si>
  <si>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</si>
  <si>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</si>
  <si>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</si>
  <si>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</si>
  <si>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</si>
  <si>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</si>
  <si>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</si>
  <si>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</si>
  <si>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</si>
  <si>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</si>
  <si>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</si>
  <si>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</si>
  <si>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</si>
  <si>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</si>
  <si>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</si>
  <si>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</si>
  <si>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</si>
  <si>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</si>
  <si>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</si>
  <si>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</si>
  <si>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</si>
  <si>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</si>
  <si>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</si>
  <si>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</si>
  <si>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</si>
  <si>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</si>
  <si>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</si>
  <si>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</si>
  <si>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</si>
  <si>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</si>
  <si>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</si>
  <si>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</si>
  <si>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</si>
  <si>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</si>
  <si>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</si>
  <si>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</si>
  <si>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</si>
  <si>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</si>
  <si>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</si>
  <si>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</si>
  <si>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</si>
  <si>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</si>
  <si>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</si>
  <si>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</si>
  <si>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</si>
  <si>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</si>
  <si>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</si>
  <si>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</si>
  <si>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</si>
  <si>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</si>
  <si>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</si>
  <si>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</si>
  <si>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</si>
  <si>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</si>
  <si>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</si>
  <si>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</si>
  <si>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</si>
  <si>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</si>
  <si>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</si>
  <si>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</si>
  <si>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</si>
  <si>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</si>
  <si>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</si>
  <si>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</si>
  <si>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</si>
  <si>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</si>
  <si>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</si>
  <si>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</si>
  <si>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</si>
  <si>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</si>
  <si>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</si>
  <si>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</si>
  <si>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</si>
  <si>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</si>
  <si>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</si>
  <si>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</si>
  <si>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</si>
  <si>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</si>
  <si>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</si>
  <si>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</si>
  <si>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</si>
  <si>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</si>
  <si>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</si>
  <si>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</si>
  <si>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</si>
  <si>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</si>
  <si>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</si>
  <si>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</si>
  <si>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</si>
  <si>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</si>
  <si>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</si>
  <si>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</si>
  <si>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</si>
  <si>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</si>
  <si>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</si>
  <si>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</si>
  <si>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</si>
  <si>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</si>
  <si>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</si>
  <si>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</si>
  <si>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</si>
  <si>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</si>
  <si>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</si>
  <si>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</si>
  <si>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</si>
  <si>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</si>
  <si>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</si>
  <si>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</si>
  <si>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</si>
  <si>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</si>
  <si>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</si>
  <si>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</si>
  <si>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</si>
  <si>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</si>
  <si>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</si>
  <si>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</si>
  <si>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</si>
  <si>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</si>
  <si>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</si>
  <si>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</si>
  <si>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</si>
  <si>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</si>
  <si>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</si>
  <si>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</si>
  <si>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</si>
  <si>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</si>
  <si>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</si>
  <si>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</si>
  <si>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</si>
  <si>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</si>
  <si>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</si>
  <si>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</si>
  <si>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</si>
  <si>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</si>
  <si>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</si>
  <si>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</si>
  <si>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</si>
  <si>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</si>
  <si>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</si>
  <si>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</si>
  <si>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</si>
  <si>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</si>
  <si>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</si>
  <si>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</si>
  <si>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</si>
  <si>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</si>
  <si>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</si>
  <si>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</si>
  <si>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</si>
  <si>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</si>
  <si>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</si>
  <si>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</si>
  <si>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</si>
  <si>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</si>
  <si>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</si>
  <si>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</si>
  <si>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</si>
  <si>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</si>
  <si>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</si>
  <si>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</si>
  <si>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</si>
  <si>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</si>
  <si>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</si>
  <si>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</si>
  <si>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</si>
  <si>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</si>
  <si>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</si>
  <si>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</si>
  <si>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</si>
  <si>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</si>
  <si>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</si>
  <si>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</si>
  <si>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</si>
  <si>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</si>
  <si>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</si>
  <si>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</si>
  <si>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</si>
  <si>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</si>
  <si>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</si>
  <si>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</si>
  <si>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</si>
  <si>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</si>
  <si>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</si>
  <si>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</si>
  <si>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</si>
  <si>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</si>
  <si>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</si>
  <si>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</si>
  <si>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</si>
  <si>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</si>
  <si>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</si>
  <si>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</si>
  <si>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</si>
  <si>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</si>
  <si>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</si>
  <si>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</si>
  <si>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</si>
  <si>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</si>
  <si>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</si>
  <si>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</si>
  <si>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</si>
  <si>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</si>
  <si>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</si>
  <si>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</si>
  <si>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</si>
  <si>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</si>
  <si>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</si>
  <si>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</si>
  <si>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</si>
  <si>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</si>
  <si>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</si>
  <si>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</si>
  <si>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</si>
  <si>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</si>
  <si>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</si>
  <si>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</si>
  <si>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</si>
  <si>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</si>
  <si>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</si>
  <si>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</si>
  <si>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</si>
  <si>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</si>
  <si>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</si>
  <si>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</si>
  <si>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</si>
  <si>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</si>
  <si>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</si>
  <si>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</si>
  <si>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</si>
  <si>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</si>
  <si>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</si>
  <si>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</si>
  <si>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</si>
  <si>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</si>
  <si>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</si>
  <si>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</si>
  <si>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</si>
  <si>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</si>
  <si>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</si>
  <si>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</si>
  <si>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</si>
  <si>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</si>
  <si>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</si>
  <si>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</si>
  <si>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</si>
  <si>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</si>
  <si>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</si>
  <si>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</si>
  <si>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</si>
  <si>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</si>
  <si>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</si>
  <si>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</si>
  <si>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</si>
  <si>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</si>
  <si>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</si>
  <si>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</si>
  <si>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</si>
  <si>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</si>
  <si>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</si>
  <si>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</si>
  <si>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</si>
  <si>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</si>
  <si>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</si>
  <si>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</si>
  <si>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</si>
  <si>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</si>
  <si>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</si>
  <si>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</si>
  <si>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</si>
  <si>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</si>
  <si>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</si>
  <si>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</si>
  <si>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</si>
  <si>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</si>
  <si>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</si>
  <si>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</si>
  <si>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</si>
  <si>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</si>
  <si>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</si>
  <si>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</si>
  <si>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</si>
  <si>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</si>
  <si>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</si>
  <si>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</si>
  <si>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</si>
  <si>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</si>
  <si>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</si>
  <si>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</si>
  <si>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</si>
  <si>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</si>
  <si>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</si>
  <si>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</si>
  <si>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</si>
  <si>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</si>
  <si>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</si>
  <si>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</si>
  <si>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</si>
  <si>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</si>
  <si>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</si>
  <si>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</si>
  <si>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</si>
  <si>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</si>
  <si>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</si>
  <si>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</si>
  <si>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</si>
  <si>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</si>
  <si>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</si>
  <si>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</si>
  <si>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</si>
  <si>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</si>
  <si>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</si>
  <si>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</si>
  <si>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</si>
  <si>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</si>
  <si>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</si>
  <si>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</si>
  <si>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</si>
  <si>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</si>
  <si>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</si>
  <si>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</si>
  <si>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</si>
  <si>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</si>
  <si>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</si>
  <si>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</si>
  <si>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</si>
  <si>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</si>
  <si>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</si>
  <si>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</si>
  <si>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</si>
  <si>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</si>
  <si>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</si>
  <si>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</si>
  <si>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</si>
  <si>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</si>
  <si>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</si>
  <si>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</si>
  <si>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</si>
  <si>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</si>
  <si>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</si>
  <si>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</si>
  <si>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</si>
  <si>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</si>
  <si>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</si>
  <si>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</si>
  <si>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</si>
  <si>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</si>
  <si>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</si>
  <si>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</si>
  <si>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</si>
  <si>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</si>
  <si>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</si>
  <si>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</si>
  <si>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</si>
  <si>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</si>
  <si>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</si>
  <si>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</si>
  <si>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</si>
  <si>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</si>
  <si>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</si>
  <si>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</si>
  <si>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</si>
  <si>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</si>
  <si>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</si>
  <si>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</si>
  <si>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</si>
  <si>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</si>
  <si>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</si>
  <si>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</si>
  <si>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</si>
  <si>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</si>
  <si>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</si>
  <si>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</si>
  <si>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</si>
  <si>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</si>
  <si>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</si>
  <si>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</si>
  <si>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</si>
  <si>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</si>
  <si>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</si>
  <si>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</si>
  <si>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</si>
  <si>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</si>
  <si>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</si>
  <si>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</si>
  <si>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</si>
  <si>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</si>
  <si>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</si>
  <si>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</si>
  <si>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</si>
  <si>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</si>
  <si>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</si>
  <si>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</si>
  <si>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</si>
  <si>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</si>
  <si>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</si>
  <si>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</si>
  <si>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</si>
  <si>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</si>
  <si>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</si>
  <si>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</si>
  <si>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</si>
  <si>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</si>
  <si>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</si>
  <si>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</si>
  <si>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</si>
  <si>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</si>
  <si>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</si>
  <si>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</si>
  <si>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</si>
  <si>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</si>
  <si>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</si>
  <si>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</si>
  <si>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</si>
  <si>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</si>
  <si>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</si>
  <si>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</si>
  <si>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</si>
  <si>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</si>
  <si>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</si>
  <si>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</si>
  <si>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</si>
  <si>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</si>
  <si>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</si>
  <si>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</si>
  <si>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</si>
  <si>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</si>
  <si>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</si>
  <si>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</si>
  <si>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</si>
  <si>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</si>
  <si>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</si>
  <si>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</si>
  <si>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</si>
  <si>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</si>
  <si>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</si>
  <si>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</si>
  <si>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</si>
  <si>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</si>
  <si>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</si>
  <si>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</si>
  <si>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</si>
  <si>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</si>
  <si>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</si>
  <si>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</si>
  <si>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</si>
  <si>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</si>
  <si>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</si>
  <si>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</si>
  <si>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</si>
  <si>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</si>
  <si>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</si>
  <si>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</si>
  <si>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</si>
  <si>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</si>
  <si>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</si>
  <si>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</si>
  <si>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</si>
  <si>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</si>
  <si>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</si>
  <si>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</si>
  <si>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</si>
  <si>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</si>
  <si>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</si>
  <si>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</si>
  <si>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</si>
  <si>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</si>
  <si>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</si>
  <si>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</si>
  <si>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</si>
  <si>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</si>
  <si>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</si>
  <si>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Tumbling</t>
  </si>
  <si>
    <t>3. Injecting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</si>
  <si>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</si>
  <si>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</si>
  <si>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</si>
  <si>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</si>
  <si>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</si>
  <si>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</si>
  <si>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</si>
  <si>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</si>
  <si>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</si>
  <si>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</si>
  <si>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</si>
  <si>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</si>
  <si>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</si>
  <si>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</si>
  <si>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</si>
  <si>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</si>
  <si>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</si>
  <si>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</si>
  <si>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</si>
  <si>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2nd Cycle:</t>
  </si>
  <si>
    <r>
      <t xml:space="preserve">2nd Cycle </t>
    </r>
    <r>
      <rPr>
        <sz val="16"/>
        <color rgb="FFAB7942"/>
        <rFont val="Calibri"/>
        <family val="2"/>
        <scheme val="minor"/>
      </rPr>
      <t>(Optional):</t>
    </r>
  </si>
  <si>
    <t>Higher yields require more injection cycles</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</si>
  <si>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</si>
  <si>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</si>
  <si>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</si>
  <si>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</si>
  <si>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</si>
  <si>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</si>
  <si>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</si>
  <si>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</si>
  <si>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</si>
  <si>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Process may vary according to quality and size of the meat cuts and the type and size of the Injector used.</t>
  </si>
  <si>
    <t>Pump clean water through the Injector. Make sure all needles are cleaned and free flowing.</t>
  </si>
  <si>
    <t>Fill the Brine into the Brine Mixer/Container, and run until all pipes and needles are filled with the Brine.</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</si>
  <si>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</si>
  <si>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</si>
  <si>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</si>
  <si>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</si>
  <si>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</si>
  <si>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</si>
  <si>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</si>
  <si>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</si>
  <si>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</si>
  <si>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</si>
  <si>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</si>
  <si>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</si>
  <si>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</si>
  <si>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</si>
  <si>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</si>
  <si>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</si>
  <si>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</si>
  <si>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</si>
  <si>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</si>
  <si>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</si>
  <si>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</si>
  <si>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</si>
  <si>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</si>
  <si>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</si>
  <si>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</si>
  <si>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</si>
  <si>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</si>
  <si>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</si>
  <si>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</si>
  <si>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</si>
  <si>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</si>
  <si>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</si>
  <si>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</si>
  <si>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</si>
  <si>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</si>
  <si>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</si>
  <si>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</si>
  <si>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</si>
  <si>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</si>
  <si>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</si>
  <si>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</si>
  <si>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</si>
  <si>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</si>
  <si>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</si>
  <si>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</si>
  <si>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</si>
  <si>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</si>
  <si>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</si>
  <si>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</si>
  <si>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</si>
  <si>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</si>
  <si>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</si>
  <si>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</si>
  <si>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</si>
  <si>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</si>
  <si>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</si>
  <si>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</si>
  <si>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</si>
  <si>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</si>
  <si>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</si>
  <si>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</si>
  <si>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</si>
  <si>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</si>
  <si>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</si>
  <si>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</si>
  <si>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</si>
  <si>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</si>
  <si>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</si>
  <si>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</si>
  <si>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</si>
  <si>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</si>
  <si>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</si>
  <si>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</si>
  <si>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</si>
  <si>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</si>
  <si>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</si>
  <si>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</si>
  <si>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</si>
  <si>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</si>
  <si>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</si>
  <si>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</si>
  <si>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</si>
  <si>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</si>
  <si>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</si>
  <si>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</si>
  <si>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</si>
  <si>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</si>
  <si>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</si>
  <si>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</si>
  <si>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</si>
  <si>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</si>
  <si>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</si>
  <si>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</si>
  <si>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</si>
  <si>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</si>
  <si>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</si>
  <si>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</si>
  <si>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</si>
  <si>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</si>
  <si>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</si>
  <si>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</si>
  <si>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</si>
  <si>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</si>
  <si>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</si>
  <si>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</si>
  <si>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</si>
  <si>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</si>
  <si>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</si>
  <si>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</si>
  <si>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</si>
  <si>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</si>
  <si>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</si>
  <si>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</si>
  <si>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</si>
  <si>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</si>
  <si>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</si>
  <si>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</si>
  <si>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</si>
  <si>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</si>
  <si>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</si>
  <si>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</si>
  <si>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</si>
  <si>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</si>
  <si>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</si>
  <si>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</si>
  <si>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</si>
  <si>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</si>
  <si>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</si>
  <si>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</si>
  <si>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</si>
  <si>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</si>
  <si>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</si>
  <si>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</si>
  <si>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</si>
  <si>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</si>
  <si>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</si>
  <si>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</si>
  <si>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</si>
  <si>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</si>
  <si>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</si>
  <si>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</si>
  <si>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Different sizes of cuts are desired, to keep the V-form of the Doner later in the process.</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</si>
  <si>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</si>
  <si>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</si>
  <si>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</si>
  <si>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r>
      <t xml:space="preserve">Add the </t>
    </r>
    <r>
      <rPr>
        <b/>
        <i/>
        <sz val="14"/>
        <color rgb="FF3D3D3F"/>
        <rFont val="Calibri"/>
        <family val="2"/>
        <scheme val="minor"/>
      </rPr>
      <t>AGAGEL®</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</si>
  <si>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8 RPM</t>
  </si>
  <si>
    <t>45 min</t>
  </si>
  <si>
    <t>15 min</t>
  </si>
  <si>
    <r>
      <t xml:space="preserve">Place the </t>
    </r>
    <r>
      <rPr>
        <b/>
        <sz val="14"/>
        <color rgb="FFAB7942"/>
        <rFont val="Calibri"/>
        <family val="2"/>
        <scheme val="minor"/>
      </rPr>
      <t xml:space="preserve">Kebap Seasoining </t>
    </r>
    <r>
      <rPr>
        <sz val="14"/>
        <color rgb="FFAB7942"/>
        <rFont val="Calibri"/>
        <family val="2"/>
        <scheme val="minor"/>
      </rPr>
      <t>into the Tumbler and tumble as follows:</t>
    </r>
  </si>
  <si>
    <t>6 RPM</t>
  </si>
  <si>
    <t>Remove the product from the tumbler and place into Clean Meat Boxes.</t>
  </si>
  <si>
    <t>Cover the boxes and allow to rest in Chiller overnight.</t>
  </si>
  <si>
    <t>This step will improve binding.</t>
  </si>
  <si>
    <r>
      <t xml:space="preserve">4. </t>
    </r>
    <r>
      <rPr>
        <b/>
        <i/>
        <sz val="18"/>
        <color rgb="FF3D3D3F"/>
        <rFont val="Calibri"/>
        <family val="2"/>
        <scheme val="minor"/>
      </rPr>
      <t>Optional Step</t>
    </r>
  </si>
  <si>
    <t>5. Forming the Doner Kebap</t>
  </si>
  <si>
    <t>Be aware of keeping the V-form, in order to reduce cutting loss.</t>
  </si>
  <si>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</si>
  <si>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</si>
  <si>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</si>
  <si>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</si>
  <si>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6. Packing, Freezing, Storing</t>
  </si>
  <si>
    <t>1.5 Bar</t>
  </si>
  <si>
    <r>
      <t>Whole Turkey</t>
    </r>
    <r>
      <rPr>
        <sz val="16"/>
        <color theme="0" tint="-0.499984740745262"/>
        <rFont val="Calibri"/>
        <family val="2"/>
        <scheme val="minor"/>
      </rPr>
      <t xml:space="preserve">   </t>
    </r>
    <r>
      <rPr>
        <i/>
        <sz val="16"/>
        <color theme="0" tint="-0.499984740745262"/>
        <rFont val="Calibri"/>
        <family val="2"/>
        <scheme val="minor"/>
      </rPr>
      <t>skin-</t>
    </r>
    <r>
      <rPr>
        <b/>
        <i/>
        <sz val="16"/>
        <color theme="0" tint="-0.499984740745262"/>
        <rFont val="Calibri"/>
        <family val="2"/>
        <scheme val="minor"/>
      </rPr>
      <t>on</t>
    </r>
  </si>
  <si>
    <t>Cut the Turkey into slices of approx. 1 cm.</t>
  </si>
  <si>
    <t>Place the Turkey slices on the Conveyor Belt and start the machine. Inject as follows:</t>
  </si>
  <si>
    <t>Control the weight of the Turkey after injecting to check if target increase is achieved. If not, add the missing brine into the Tumbler.</t>
  </si>
  <si>
    <t>Place the injected Turkey Slices into the Tumbler. Tumble as follows:</t>
  </si>
  <si>
    <t>Spike the marinated slices onto the Doner-Spit.</t>
  </si>
  <si>
    <r>
      <t xml:space="preserve">Turkey Doner Kebap </t>
    </r>
    <r>
      <rPr>
        <i/>
        <sz val="24"/>
        <color theme="0" tint="-0.499984740745262"/>
        <rFont val="Calibri"/>
        <family val="2"/>
        <scheme val="minor"/>
      </rPr>
      <t>Economy</t>
    </r>
  </si>
  <si>
    <t>choose 40% - 50%</t>
  </si>
  <si>
    <t>www.fiRecipes.com/TurkeyDonerKebap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</si>
</sst>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i/>
      <sz val="16"/>
      <color theme="0" tint="-0.499984740745262"/>
      <name val="Calibri"/>
      <family val="2"/>
      <scheme val="minor"/>
    </font>
    <font>
      <b/>
      <i/>
      <sz val="16"/>
      <color theme="0" tint="-0.499984740745262"/>
      <name val="Calibri"/>
      <family val="2"/>
      <scheme val="minor"/>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48">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6"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49" fontId="26" fillId="3" borderId="26" xfId="0" applyNumberFormat="1" applyFont="1" applyFill="1" applyBorder="1" applyAlignment="1">
      <alignment horizontal="center" vertical="top" wrapText="1"/>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49" fontId="64" fillId="3"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8" fillId="3" borderId="0" xfId="4" applyFont="1" applyFill="1" applyBorder="1" applyAlignment="1" applyProtection="1">
      <alignment horizontal="center" vertical="center" wrapText="1"/>
      <protection locked="0"/>
    </xf>
    <xf numFmtId="0" fontId="78" fillId="3" borderId="27" xfId="0" applyFont="1" applyFill="1" applyBorder="1" applyAlignment="1">
      <alignment vertical="top" wrapText="1"/>
    </xf>
    <xf numFmtId="0" fontId="79" fillId="5" borderId="26" xfId="0" applyFont="1" applyFill="1" applyBorder="1" applyAlignment="1">
      <alignment horizontal="center" vertical="top"/>
    </xf>
    <xf numFmtId="0" fontId="79" fillId="5" borderId="23"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6" fillId="5" borderId="26" xfId="0" applyFont="1" applyFill="1" applyBorder="1" applyAlignment="1">
      <alignment horizontal="center"/>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49" fontId="86" fillId="5" borderId="27" xfId="0" applyNumberFormat="1" applyFont="1" applyFill="1" applyBorder="1" applyAlignment="1">
      <alignment horizontal="left"/>
    </xf>
    <xf numFmtId="0" fontId="79" fillId="0" borderId="0" xfId="0" applyFont="1" applyAlignment="1">
      <alignment horizontal="center" vertical="top"/>
    </xf>
    <xf numFmtId="0" fontId="86" fillId="0" borderId="0" xfId="0" applyFont="1"/>
    <xf numFmtId="49" fontId="79" fillId="5" borderId="26" xfId="0" applyNumberFormat="1" applyFont="1" applyFill="1" applyBorder="1" applyAlignment="1">
      <alignment horizontal="center" vertical="top"/>
    </xf>
    <xf numFmtId="49" fontId="83" fillId="3" borderId="26" xfId="0" applyNumberFormat="1" applyFont="1" applyFill="1" applyBorder="1" applyAlignment="1">
      <alignment horizontal="center" vertical="top" wrapText="1"/>
    </xf>
    <xf numFmtId="49" fontId="83" fillId="3" borderId="0" xfId="0" applyNumberFormat="1" applyFont="1" applyFill="1" applyAlignment="1">
      <alignment vertical="top" wrapText="1"/>
    </xf>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54" fillId="3" borderId="0" xfId="0" applyNumberFormat="1" applyFont="1" applyFill="1" applyAlignment="1">
      <alignment horizontal="left" vertical="top" wrapText="1"/>
    </xf>
    <xf numFmtId="0" fontId="0" fillId="5" borderId="0" xfId="0"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1" fillId="5" borderId="0" xfId="0" applyFont="1" applyFill="1" applyAlignment="1">
      <alignment horizontal="right" vertical="center"/>
    </xf>
    <xf numFmtId="167" fontId="102" fillId="5" borderId="0" xfId="0" applyNumberFormat="1" applyFont="1" applyFill="1" applyAlignment="1">
      <alignment vertical="center"/>
    </xf>
    <xf numFmtId="49" fontId="100" fillId="3" borderId="0" xfId="0" applyNumberFormat="1" applyFont="1" applyFill="1" applyAlignment="1">
      <alignment horizontal="right" vertical="center"/>
    </xf>
    <xf numFmtId="49" fontId="100" fillId="3" borderId="1" xfId="0" applyNumberFormat="1" applyFont="1" applyFill="1" applyBorder="1" applyAlignment="1">
      <alignment horizontal="right" vertical="center"/>
    </xf>
    <xf numFmtId="49" fontId="100" fillId="3" borderId="1" xfId="0" applyNumberFormat="1" applyFont="1" applyFill="1" applyBorder="1" applyAlignment="1">
      <alignment horizontal="left" vertical="center"/>
    </xf>
    <xf numFmtId="49" fontId="100"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9"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100"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100"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49" fontId="78" fillId="5" borderId="27" xfId="0" applyNumberFormat="1" applyFont="1" applyFill="1" applyBorder="1" applyAlignment="1">
      <alignment horizontal="left" vertical="top"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0" fontId="78" fillId="3" borderId="0" xfId="0" applyFont="1" applyFill="1" applyAlignment="1">
      <alignment vertical="top" wrapText="1"/>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78" fillId="5" borderId="0" xfId="0" applyNumberFormat="1" applyFont="1" applyFill="1" applyAlignment="1">
      <alignment horizontal="left" vertical="top" wrapText="1"/>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84" fillId="5" borderId="0" xfId="0" applyNumberFormat="1" applyFont="1" applyFill="1" applyAlignment="1">
      <alignment vertical="top" wrapText="1"/>
    </xf>
    <xf numFmtId="49" fontId="78" fillId="5" borderId="0" xfId="0" applyNumberFormat="1" applyFont="1" applyFill="1" applyAlignment="1">
      <alignment wrapText="1"/>
    </xf>
    <xf numFmtId="49" fontId="81" fillId="5" borderId="0" xfId="0" applyNumberFormat="1" applyFont="1" applyFill="1" applyAlignment="1">
      <alignment horizontal="left" vertical="center" wrapText="1"/>
    </xf>
    <xf numFmtId="0" fontId="86" fillId="3" borderId="26" xfId="0" applyFont="1" applyFill="1" applyBorder="1" applyAlignment="1">
      <alignment horizontal="center" vertical="center"/>
    </xf>
    <xf numFmtId="0" fontId="86" fillId="3" borderId="26" xfId="0" applyFont="1" applyFill="1" applyBorder="1" applyAlignment="1">
      <alignment horizontal="center"/>
    </xf>
    <xf numFmtId="49" fontId="78" fillId="3" borderId="0" xfId="0" applyNumberFormat="1" applyFont="1" applyFill="1" applyAlignment="1">
      <alignment vertical="top" wrapText="1"/>
    </xf>
    <xf numFmtId="49" fontId="38" fillId="3" borderId="0" xfId="0" applyNumberFormat="1" applyFont="1" applyFill="1" applyAlignment="1">
      <alignment vertical="top" wrapText="1"/>
    </xf>
    <xf numFmtId="49" fontId="78" fillId="3" borderId="27" xfId="0" applyNumberFormat="1" applyFont="1" applyFill="1" applyBorder="1" applyAlignment="1">
      <alignment vertical="top" wrapText="1"/>
    </xf>
    <xf numFmtId="49" fontId="84" fillId="3" borderId="27" xfId="0" applyNumberFormat="1" applyFont="1" applyFill="1" applyBorder="1" applyAlignment="1">
      <alignment vertical="top"/>
    </xf>
    <xf numFmtId="49" fontId="83" fillId="3" borderId="27" xfId="0" applyNumberFormat="1" applyFont="1" applyFill="1" applyBorder="1" applyAlignment="1">
      <alignment vertical="top"/>
    </xf>
    <xf numFmtId="49" fontId="54" fillId="3" borderId="27" xfId="0" applyNumberFormat="1" applyFont="1" applyFill="1" applyBorder="1" applyAlignment="1">
      <alignment vertical="top"/>
    </xf>
    <xf numFmtId="0" fontId="0" fillId="3" borderId="26" xfId="0" applyFill="1" applyBorder="1" applyAlignment="1">
      <alignment horizontal="center"/>
    </xf>
    <xf numFmtId="49" fontId="26" fillId="3" borderId="0" xfId="0" applyNumberFormat="1" applyFont="1" applyFill="1" applyAlignment="1">
      <alignment vertical="top" wrapText="1"/>
    </xf>
    <xf numFmtId="49" fontId="38" fillId="3" borderId="27" xfId="0" applyNumberFormat="1" applyFont="1" applyFill="1" applyBorder="1" applyAlignment="1">
      <alignment vertical="top" wrapText="1"/>
    </xf>
    <xf numFmtId="0" fontId="86" fillId="3" borderId="0" xfId="0" applyFont="1" applyFill="1"/>
    <xf numFmtId="49" fontId="42" fillId="3" borderId="27" xfId="0" applyNumberFormat="1" applyFont="1" applyFill="1" applyBorder="1" applyAlignment="1">
      <alignment vertical="top"/>
    </xf>
    <xf numFmtId="49" fontId="83" fillId="3" borderId="0" xfId="0" applyNumberFormat="1" applyFont="1" applyFill="1" applyAlignment="1">
      <alignment vertical="top"/>
    </xf>
    <xf numFmtId="49" fontId="54" fillId="3" borderId="0" xfId="0" applyNumberFormat="1" applyFont="1" applyFill="1" applyAlignment="1">
      <alignment vertical="top"/>
    </xf>
    <xf numFmtId="49" fontId="42" fillId="3" borderId="0" xfId="0" applyNumberFormat="1" applyFont="1" applyFill="1" applyAlignment="1">
      <alignment vertical="top"/>
    </xf>
    <xf numFmtId="49" fontId="42" fillId="3" borderId="43" xfId="0" applyNumberFormat="1" applyFont="1" applyFill="1" applyBorder="1" applyAlignment="1">
      <alignment horizontal="left" vertical="top" wrapText="1"/>
    </xf>
    <xf numFmtId="49" fontId="42" fillId="3" borderId="43" xfId="0" applyNumberFormat="1" applyFont="1" applyFill="1" applyBorder="1" applyAlignment="1">
      <alignment vertical="top" wrapText="1"/>
    </xf>
    <xf numFmtId="49" fontId="83" fillId="3" borderId="44" xfId="0" applyNumberFormat="1" applyFont="1" applyFill="1" applyBorder="1" applyAlignment="1">
      <alignment horizontal="left" vertical="top" wrapText="1"/>
    </xf>
    <xf numFmtId="49" fontId="83" fillId="3" borderId="44" xfId="0" applyNumberFormat="1" applyFont="1" applyFill="1" applyBorder="1" applyAlignment="1">
      <alignment vertical="top" wrapText="1"/>
    </xf>
    <xf numFmtId="49" fontId="92" fillId="3" borderId="45" xfId="0" applyNumberFormat="1" applyFont="1" applyFill="1" applyBorder="1" applyAlignment="1">
      <alignment horizontal="left" vertical="top" wrapText="1"/>
    </xf>
    <xf numFmtId="49" fontId="54" fillId="3" borderId="45" xfId="0" applyNumberFormat="1" applyFont="1" applyFill="1" applyBorder="1" applyAlignment="1">
      <alignment vertical="top" wrapText="1"/>
    </xf>
    <xf numFmtId="0" fontId="113" fillId="0" borderId="0" xfId="0" applyFont="1" applyAlignment="1">
      <alignment horizontal="left"/>
    </xf>
    <xf numFmtId="0" fontId="114" fillId="0" borderId="0" xfId="4" applyFont="1" applyFill="1" applyBorder="1" applyAlignment="1" applyProtection="1">
      <alignment horizontal="right"/>
    </xf>
    <xf numFmtId="0" fontId="115" fillId="0" borderId="0" xfId="0" applyFont="1" applyAlignment="1">
      <alignment horizontal="right"/>
    </xf>
    <xf numFmtId="0" fontId="80" fillId="3" borderId="23" xfId="0" applyFont="1" applyFill="1" applyBorder="1" applyAlignment="1">
      <alignment horizontal="center" vertical="top"/>
    </xf>
    <xf numFmtId="0" fontId="80" fillId="3" borderId="24" xfId="0" applyFont="1" applyFill="1" applyBorder="1" applyAlignment="1">
      <alignment horizontal="center" vertical="top"/>
    </xf>
    <xf numFmtId="0" fontId="80" fillId="3" borderId="25" xfId="0" applyFont="1" applyFill="1" applyBorder="1" applyAlignment="1">
      <alignment horizontal="center" vertical="top"/>
    </xf>
    <xf numFmtId="49" fontId="83" fillId="3" borderId="44" xfId="0" applyNumberFormat="1" applyFont="1" applyFill="1" applyBorder="1" applyAlignment="1">
      <alignment horizontal="left" vertical="top"/>
    </xf>
    <xf numFmtId="49" fontId="54" fillId="3" borderId="45" xfId="0" applyNumberFormat="1" applyFont="1" applyFill="1" applyBorder="1" applyAlignment="1">
      <alignment horizontal="left" vertical="top"/>
    </xf>
    <xf numFmtId="49" fontId="42" fillId="3" borderId="43" xfId="0" applyNumberFormat="1" applyFont="1" applyFill="1" applyBorder="1" applyAlignment="1">
      <alignment horizontal="left" vertical="top"/>
    </xf>
    <xf numFmtId="0" fontId="83" fillId="0" borderId="0" xfId="0" applyFont="1"/>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28" fillId="3"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28" fillId="4" borderId="0" xfId="0" applyFont="1" applyFill="1" applyAlignment="1">
      <alignment horizontal="center" vertical="center"/>
    </xf>
    <xf numFmtId="3" fontId="27" fillId="3" borderId="0" xfId="0" applyNumberFormat="1" applyFont="1" applyFill="1" applyAlignment="1">
      <alignment horizontal="left" vertical="center"/>
    </xf>
    <xf numFmtId="0" fontId="30" fillId="3" borderId="19" xfId="0" applyFont="1" applyFill="1" applyBorder="1" applyAlignment="1">
      <alignment horizontal="right"/>
    </xf>
    <xf numFmtId="0" fontId="67" fillId="0" borderId="0" xfId="0" applyFont="1" applyAlignment="1">
      <alignment horizontal="left"/>
    </xf>
    <xf numFmtId="0" fontId="70" fillId="0" borderId="0" xfId="0" applyFont="1" applyAlignment="1">
      <alignment horizontal="left"/>
    </xf>
    <xf numFmtId="49" fontId="30" fillId="3" borderId="0" xfId="0" applyNumberFormat="1" applyFont="1" applyFill="1" applyAlignment="1">
      <alignment horizontal="left" vertical="center" wrapText="1"/>
    </xf>
    <xf numFmtId="0" fontId="78" fillId="0" borderId="0" xfId="0" applyFont="1" applyAlignment="1">
      <alignment horizontal="left" vertical="top" wrapText="1"/>
    </xf>
    <xf numFmtId="0" fontId="30" fillId="3" borderId="0" xfId="0" applyFont="1" applyFill="1" applyAlignment="1">
      <alignment horizontal="right"/>
    </xf>
    <xf numFmtId="49" fontId="98" fillId="3" borderId="23" xfId="4" applyNumberFormat="1" applyFont="1" applyFill="1" applyBorder="1" applyAlignment="1" applyProtection="1">
      <alignment horizontal="center" vertical="top" wrapText="1"/>
      <protection locked="0"/>
    </xf>
    <xf numFmtId="49" fontId="98" fillId="3" borderId="24" xfId="4" applyNumberFormat="1" applyFont="1" applyFill="1" applyBorder="1" applyAlignment="1" applyProtection="1">
      <alignment horizontal="center" vertical="top" wrapText="1"/>
      <protection locked="0"/>
    </xf>
    <xf numFmtId="49" fontId="98" fillId="3" borderId="25" xfId="4" applyNumberFormat="1" applyFont="1" applyFill="1" applyBorder="1" applyAlignment="1" applyProtection="1">
      <alignment horizontal="center" vertical="top" wrapText="1"/>
      <protection locked="0"/>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49" fontId="92" fillId="3" borderId="45" xfId="0" applyNumberFormat="1" applyFont="1" applyFill="1" applyBorder="1" applyAlignment="1">
      <alignment horizontal="left" vertical="top" wrapText="1"/>
    </xf>
    <xf numFmtId="49" fontId="42" fillId="3" borderId="43" xfId="0" applyNumberFormat="1" applyFont="1" applyFill="1" applyBorder="1" applyAlignment="1">
      <alignment horizontal="left" vertical="top" wrapText="1"/>
    </xf>
    <xf numFmtId="49" fontId="78" fillId="3" borderId="0" xfId="0" applyNumberFormat="1" applyFont="1" applyFill="1" applyAlignment="1">
      <alignment horizontal="left" vertical="top" wrapText="1"/>
    </xf>
    <xf numFmtId="49" fontId="78" fillId="3" borderId="27" xfId="0" applyNumberFormat="1" applyFont="1" applyFill="1" applyBorder="1" applyAlignment="1">
      <alignment horizontal="left" vertical="top" wrapText="1"/>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49" fontId="65" fillId="3" borderId="0" xfId="0" applyNumberFormat="1" applyFont="1" applyFill="1" applyAlignment="1">
      <alignment horizontal="left" vertical="top" wrapText="1"/>
    </xf>
    <xf numFmtId="49" fontId="65" fillId="3" borderId="27" xfId="0" applyNumberFormat="1" applyFont="1" applyFill="1" applyBorder="1" applyAlignment="1">
      <alignment horizontal="left" vertical="top" wrapText="1"/>
    </xf>
    <xf numFmtId="0" fontId="78" fillId="3" borderId="27" xfId="0" applyFont="1" applyFill="1" applyBorder="1" applyAlignment="1">
      <alignment horizontal="left" vertical="top" wrapText="1"/>
    </xf>
    <xf numFmtId="0" fontId="85" fillId="3" borderId="0" xfId="0" applyFont="1" applyFill="1" applyAlignment="1">
      <alignment horizontal="left" vertical="top" wrapText="1"/>
    </xf>
    <xf numFmtId="0" fontId="85" fillId="3" borderId="27" xfId="0" applyFont="1" applyFill="1" applyBorder="1" applyAlignment="1">
      <alignment horizontal="left" vertical="top" wrapText="1"/>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0" fontId="28" fillId="5" borderId="28" xfId="0" applyFont="1" applyFill="1" applyBorder="1" applyAlignment="1">
      <alignment horizontal="center" vertical="center"/>
    </xf>
    <xf numFmtId="0" fontId="28" fillId="11" borderId="0" xfId="0" applyFont="1" applyFill="1" applyAlignment="1">
      <alignment horizontal="center" vertical="center"/>
    </xf>
    <xf numFmtId="0" fontId="28" fillId="10" borderId="0" xfId="0" applyFont="1" applyFill="1" applyAlignment="1">
      <alignment horizontal="center" vertical="center"/>
    </xf>
    <xf numFmtId="49" fontId="30" fillId="3" borderId="0" xfId="0" applyNumberFormat="1" applyFont="1" applyFill="1" applyAlignment="1">
      <alignment horizontal="left" vertical="center"/>
    </xf>
    <xf numFmtId="0" fontId="104" fillId="4" borderId="0" xfId="0" applyFont="1" applyFill="1" applyAlignment="1">
      <alignment horizontal="center" vertical="center"/>
    </xf>
    <xf numFmtId="0" fontId="43" fillId="4" borderId="0" xfId="0" applyFont="1" applyFill="1" applyAlignment="1">
      <alignment horizontal="center" vertical="center"/>
    </xf>
    <xf numFmtId="0" fontId="79" fillId="10" borderId="0" xfId="0" applyFont="1" applyFill="1" applyAlignment="1">
      <alignment horizontal="left" vertical="center"/>
    </xf>
    <xf numFmtId="0" fontId="78" fillId="12" borderId="0" xfId="0" applyFont="1" applyFill="1" applyAlignment="1">
      <alignment horizontal="left" vertical="top" wrapText="1"/>
    </xf>
    <xf numFmtId="3" fontId="62" fillId="13" borderId="0" xfId="0" applyNumberFormat="1" applyFont="1" applyFill="1" applyAlignment="1">
      <alignment horizontal="center" vertical="center" wrapText="1"/>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49" fontId="107"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3" fontId="28" fillId="3" borderId="1" xfId="0" applyNumberFormat="1" applyFont="1" applyFill="1" applyBorder="1" applyAlignment="1">
      <alignment horizontal="left" vertical="center"/>
    </xf>
    <xf numFmtId="3" fontId="46" fillId="3" borderId="0" xfId="0" applyNumberFormat="1" applyFont="1" applyFill="1" applyAlignment="1">
      <alignment horizontal="left" vertical="center"/>
    </xf>
    <xf numFmtId="3" fontId="108" fillId="13" borderId="0" xfId="0" applyNumberFormat="1" applyFont="1" applyFill="1" applyAlignment="1">
      <alignment horizontal="center" vertical="center"/>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3" fontId="28" fillId="3" borderId="1" xfId="0" applyNumberFormat="1" applyFont="1" applyFill="1" applyBorder="1" applyAlignment="1">
      <alignment horizontal="right" vertical="center"/>
    </xf>
    <xf numFmtId="49" fontId="83" fillId="5" borderId="45" xfId="0" applyNumberFormat="1" applyFont="1" applyFill="1" applyBorder="1" applyAlignment="1">
      <alignment horizontal="left" vertical="top" wrapText="1"/>
    </xf>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0" fontId="60" fillId="0" borderId="0" xfId="0" applyFont="1" applyAlignment="1">
      <alignment horizontal="center" wrapText="1"/>
    </xf>
    <xf numFmtId="0" fontId="60" fillId="0" borderId="28" xfId="0" applyFont="1" applyBorder="1" applyAlignment="1">
      <alignment horizontal="center" wrapText="1"/>
    </xf>
    <xf numFmtId="0" fontId="111" fillId="0" borderId="0" xfId="4" applyFont="1" applyFill="1" applyBorder="1" applyAlignment="1" applyProtection="1">
      <alignment horizontal="left" vertical="center"/>
      <protection locked="0"/>
    </xf>
    <xf numFmtId="0" fontId="112" fillId="0" borderId="0" xfId="4" applyFont="1" applyFill="1" applyBorder="1" applyAlignment="1" applyProtection="1">
      <alignment horizontal="left" vertical="center"/>
      <protection locked="0"/>
    </xf>
    <xf numFmtId="0" fontId="88" fillId="10" borderId="28" xfId="0" applyFont="1" applyFill="1" applyBorder="1" applyAlignment="1">
      <alignment horizontal="center" vertical="center" wrapText="1"/>
    </xf>
    <xf numFmtId="0" fontId="116" fillId="10" borderId="28" xfId="0" applyFont="1" applyFill="1" applyBorder="1" applyAlignment="1">
      <alignment horizontal="center" vertical="center" wrapText="1"/>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0" fontId="78" fillId="5" borderId="24" xfId="0" applyFont="1" applyFill="1" applyBorder="1" applyAlignment="1">
      <alignment horizontal="left" vertical="top" wrapText="1"/>
    </xf>
    <xf numFmtId="0" fontId="78" fillId="5" borderId="25" xfId="0" applyFont="1" applyFill="1" applyBorder="1" applyAlignment="1">
      <alignment horizontal="left" vertical="top" wrapText="1"/>
    </xf>
    <xf numFmtId="49" fontId="84" fillId="3" borderId="0" xfId="0" applyNumberFormat="1" applyFont="1" applyFill="1" applyAlignment="1">
      <alignment horizontal="center" vertical="top" wrapText="1"/>
    </xf>
    <xf numFmtId="49" fontId="84" fillId="3" borderId="0" xfId="0" applyNumberFormat="1" applyFont="1" applyFill="1" applyAlignment="1">
      <alignment horizontal="left" vertical="top" wrapText="1"/>
    </xf>
    <xf numFmtId="49" fontId="83" fillId="3" borderId="44" xfId="0" applyNumberFormat="1" applyFont="1" applyFill="1" applyBorder="1" applyAlignment="1">
      <alignment horizontal="left" vertical="top" wrapText="1"/>
    </xf>
    <xf numFmtId="49" fontId="54" fillId="3" borderId="45" xfId="0" applyNumberFormat="1" applyFont="1" applyFill="1" applyBorder="1" applyAlignment="1">
      <alignment horizontal="left" vertical="top" wrapText="1"/>
    </xf>
    <xf numFmtId="49" fontId="84" fillId="3" borderId="0" xfId="0" applyNumberFormat="1" applyFont="1" applyFill="1" applyAlignment="1">
      <alignment horizontal="left" vertical="top"/>
    </xf>
    <xf numFmtId="0" fontId="79" fillId="5" borderId="26" xfId="0" applyFont="1" applyFill="1" applyBorder="1" applyAlignment="1">
      <alignment horizontal="center" vertical="top"/>
    </xf>
    <xf numFmtId="0" fontId="79" fillId="5" borderId="0" xfId="0" applyFont="1" applyFill="1" applyAlignment="1">
      <alignment horizontal="center" vertical="top"/>
    </xf>
    <xf numFmtId="0" fontId="79" fillId="5" borderId="27" xfId="0" applyFont="1" applyFill="1" applyBorder="1" applyAlignment="1">
      <alignment horizontal="center" vertical="top"/>
    </xf>
    <xf numFmtId="49" fontId="81" fillId="5" borderId="0" xfId="0" applyNumberFormat="1" applyFont="1" applyFill="1" applyAlignment="1">
      <alignment horizontal="left" vertical="center" wrapText="1"/>
    </xf>
    <xf numFmtId="49" fontId="81" fillId="5" borderId="27" xfId="0" applyNumberFormat="1" applyFont="1" applyFill="1" applyBorder="1" applyAlignment="1">
      <alignment horizontal="left" vertical="center" wrapText="1"/>
    </xf>
    <xf numFmtId="49" fontId="83" fillId="5" borderId="44" xfId="0" applyNumberFormat="1" applyFont="1" applyFill="1" applyBorder="1" applyAlignment="1">
      <alignment horizontal="left" vertical="top" wrapText="1"/>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88" fillId="10" borderId="0" xfId="0" applyFont="1" applyFill="1" applyAlignment="1">
      <alignment horizontal="center" vertical="center" wrapText="1"/>
    </xf>
    <xf numFmtId="0" fontId="93" fillId="0" borderId="0" xfId="0" applyFont="1" applyAlignment="1">
      <alignment horizontal="center"/>
    </xf>
    <xf numFmtId="0" fontId="27" fillId="3" borderId="41" xfId="0" applyFont="1" applyFill="1" applyBorder="1" applyAlignment="1">
      <alignment horizontal="left" vertical="center"/>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660060</xdr:colOff>
      <xdr:row>0</xdr:row>
      <xdr:rowOff>0</xdr:rowOff>
    </xdr:from>
    <xdr:to>
      <xdr:col>12</xdr:col>
      <xdr:colOff>921938</xdr:colOff>
      <xdr:row>8</xdr:row>
      <xdr:rowOff>203200</xdr:rowOff>
    </xdr:to>
    <xdr:pic>
      <xdr:nvPicPr>
        <xdr:cNvPr id="4" name="Grafik 3">
          <a:extLst>
            <a:ext uri="{FF2B5EF4-FFF2-40B4-BE49-F238E27FC236}">
              <a16:creationId xmlns:a16="http://schemas.microsoft.com/office/drawing/2014/main" id="{4C5049E3-51B3-8D42-8C6B-0C04967AE4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81660" y="0"/>
          <a:ext cx="1481078" cy="238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TurkeyDonerKebap"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309"/>
  <sheetViews>
    <sheetView showGridLines="0" tabSelected="1" zoomScaleNormal="100" workbookViewId="0">
      <selection activeCell="M10" sqref="M10"/>
    </sheetView>
  </sheetViews>
  <sheetFormatPr baseColWidth="10" defaultColWidth="10.83203125" defaultRowHeight="19" x14ac:dyDescent="0.25"/>
  <cols>
    <col min="2" max="2" width="4.1640625" style="85"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5" style="68"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42"/>
      <c r="K1" s="342"/>
      <c r="L1" s="342"/>
      <c r="M1" s="342"/>
      <c r="N1" s="69"/>
      <c r="Q1" t="s">
        <v>178</v>
      </c>
    </row>
    <row r="2" spans="2:23" ht="24" x14ac:dyDescent="0.2">
      <c r="J2" s="180"/>
      <c r="K2" s="180"/>
      <c r="L2" s="180"/>
      <c r="M2" s="180"/>
      <c r="N2" s="69"/>
    </row>
    <row r="3" spans="2:23" ht="24" x14ac:dyDescent="0.2">
      <c r="J3" s="180"/>
      <c r="K3" s="180"/>
      <c r="L3" s="180"/>
      <c r="M3" s="180"/>
      <c r="N3" s="69"/>
    </row>
    <row r="4" spans="2:23" ht="24" x14ac:dyDescent="0.2">
      <c r="J4" s="180"/>
      <c r="K4" s="180"/>
      <c r="L4" s="180"/>
      <c r="M4" s="180"/>
      <c r="N4" s="69"/>
    </row>
    <row r="5" spans="2:23" ht="20" customHeight="1" x14ac:dyDescent="0.2">
      <c r="J5" s="180"/>
      <c r="K5" s="180"/>
      <c r="L5" s="180"/>
      <c r="M5" s="180"/>
      <c r="N5" s="69"/>
      <c r="O5" s="409" t="s">
        <v>3120</v>
      </c>
      <c r="P5" s="409"/>
      <c r="Q5" s="409"/>
      <c r="R5" s="409"/>
    </row>
    <row r="6" spans="2:23" ht="32" hidden="1" customHeight="1" thickBot="1" x14ac:dyDescent="0.4">
      <c r="B6" s="351" t="s">
        <v>3088</v>
      </c>
      <c r="C6" s="351"/>
      <c r="D6" s="351"/>
      <c r="E6" s="351"/>
      <c r="F6" s="282" t="s">
        <v>3090</v>
      </c>
      <c r="G6" s="358" t="s">
        <v>3016</v>
      </c>
      <c r="H6" s="358"/>
      <c r="I6" s="358"/>
      <c r="J6" s="359" t="s">
        <v>3100</v>
      </c>
      <c r="K6" s="359"/>
      <c r="L6" s="359"/>
      <c r="M6" s="359"/>
      <c r="N6" s="359"/>
      <c r="O6" s="409"/>
      <c r="P6" s="409"/>
      <c r="Q6" s="409"/>
      <c r="R6" s="409"/>
    </row>
    <row r="7" spans="2:23" ht="31" customHeight="1" thickBot="1" x14ac:dyDescent="0.4">
      <c r="B7" s="351" t="s">
        <v>3219</v>
      </c>
      <c r="C7" s="351"/>
      <c r="D7" s="351"/>
      <c r="E7" s="351"/>
      <c r="F7" s="351"/>
      <c r="G7" s="351"/>
      <c r="H7" s="351"/>
      <c r="I7" s="351"/>
      <c r="J7" s="351"/>
      <c r="K7" s="351"/>
      <c r="L7" s="351"/>
      <c r="M7" s="351"/>
      <c r="N7" s="351"/>
      <c r="O7" s="410"/>
      <c r="P7" s="410"/>
      <c r="Q7" s="410"/>
      <c r="R7" s="410"/>
    </row>
    <row r="8" spans="2:23" ht="25" customHeight="1" thickBot="1" x14ac:dyDescent="0.5">
      <c r="B8" s="411" t="s">
        <v>3221</v>
      </c>
      <c r="C8" s="412"/>
      <c r="D8" s="412"/>
      <c r="E8" s="412"/>
      <c r="F8" s="412"/>
      <c r="G8" s="412"/>
      <c r="H8" s="412"/>
      <c r="I8" s="412"/>
      <c r="J8" s="328"/>
      <c r="K8" s="328"/>
      <c r="L8" s="329"/>
      <c r="M8" s="329"/>
      <c r="N8" s="330"/>
      <c r="O8" s="413" t="s">
        <v>3135</v>
      </c>
      <c r="P8" s="414"/>
      <c r="Q8" s="414"/>
      <c r="R8" s="414"/>
      <c r="V8" s="83"/>
    </row>
    <row r="9" spans="2:23" s="7" customFormat="1" ht="25" customHeight="1" thickBot="1" x14ac:dyDescent="0.3">
      <c r="B9" s="343" t="s">
        <v>3127</v>
      </c>
      <c r="C9" s="343"/>
      <c r="D9" s="343"/>
      <c r="E9" s="343"/>
      <c r="F9" s="343"/>
      <c r="G9" s="343"/>
      <c r="H9" s="343"/>
      <c r="I9" s="343"/>
      <c r="J9" s="343"/>
      <c r="K9" s="343"/>
      <c r="L9" s="343"/>
      <c r="M9" s="343"/>
      <c r="N9" s="343"/>
      <c r="O9" s="382" t="s">
        <v>3145</v>
      </c>
      <c r="P9" s="382"/>
      <c r="Q9" s="382" t="s">
        <v>3039</v>
      </c>
      <c r="R9" s="382"/>
      <c r="S9" s="170"/>
      <c r="T9" s="170"/>
      <c r="U9" s="170"/>
    </row>
    <row r="10" spans="2:23" s="70" customFormat="1" ht="25" customHeight="1" thickBot="1" x14ac:dyDescent="0.3">
      <c r="B10" s="344" t="s">
        <v>3213</v>
      </c>
      <c r="C10" s="344"/>
      <c r="D10" s="344"/>
      <c r="E10" s="344"/>
      <c r="F10" s="344"/>
      <c r="G10" s="344"/>
      <c r="H10" s="344"/>
      <c r="I10" s="344"/>
      <c r="J10" s="280"/>
      <c r="K10" s="90"/>
      <c r="L10" s="90"/>
      <c r="M10" s="284">
        <v>10</v>
      </c>
      <c r="N10" s="270" t="s">
        <v>0</v>
      </c>
      <c r="O10" s="271">
        <f>IF(MeatType="Beef",5,IF(MeatType="Chicken",2,IF(MeatType="Turkey",3,IF(MeatType="Pork",1.5,""))))</f>
        <v>3</v>
      </c>
      <c r="P10" s="272" t="str">
        <f>IF(O10&lt;&gt;"","EUR","")</f>
        <v>EUR</v>
      </c>
      <c r="Q10" s="273">
        <f>IF(O10&lt;&gt;"",ROUND(O10*M10,2),"")</f>
        <v>30</v>
      </c>
      <c r="R10" s="274" t="str">
        <f>IF(Q10&lt;&gt;"","EUR","")</f>
        <v>EUR</v>
      </c>
      <c r="S10" s="295"/>
      <c r="T10" s="170"/>
      <c r="U10" s="170"/>
      <c r="V10" s="7"/>
      <c r="W10" s="7"/>
    </row>
    <row r="11" spans="2:23" s="7" customFormat="1" ht="21" x14ac:dyDescent="0.25">
      <c r="B11" s="352" t="s">
        <v>1492</v>
      </c>
      <c r="C11" s="352"/>
      <c r="D11" s="352"/>
      <c r="E11" s="352"/>
      <c r="F11" s="352"/>
      <c r="G11" s="352"/>
      <c r="H11" s="352"/>
      <c r="I11" s="362" t="s">
        <v>3220</v>
      </c>
      <c r="J11" s="362"/>
      <c r="K11" s="362"/>
      <c r="L11" s="71" t="s">
        <v>1490</v>
      </c>
      <c r="M11" s="72">
        <v>0.5</v>
      </c>
      <c r="N11" s="269" t="s">
        <v>1493</v>
      </c>
      <c r="O11" s="215">
        <v>1</v>
      </c>
      <c r="P11" s="9"/>
      <c r="Q11" s="10"/>
      <c r="R11" s="11"/>
      <c r="S11" s="170"/>
      <c r="T11" s="170"/>
      <c r="U11" s="170"/>
    </row>
    <row r="12" spans="2:23" s="7" customFormat="1" ht="21" customHeight="1" thickBot="1" x14ac:dyDescent="0.3">
      <c r="B12" s="353" t="s">
        <v>3148</v>
      </c>
      <c r="C12" s="353"/>
      <c r="D12" s="353"/>
      <c r="E12" s="353"/>
      <c r="F12" s="353"/>
      <c r="G12" s="353"/>
      <c r="H12" s="353"/>
      <c r="I12" s="357"/>
      <c r="J12" s="357"/>
      <c r="K12" s="357"/>
      <c r="L12" s="73" t="s">
        <v>1490</v>
      </c>
      <c r="M12" s="74">
        <v>1.4999999999999999E-2</v>
      </c>
      <c r="N12" s="268" t="s">
        <v>1493</v>
      </c>
      <c r="O12" s="215"/>
      <c r="P12" s="9"/>
      <c r="Q12" s="10"/>
      <c r="R12" s="11"/>
      <c r="S12" s="380" t="s">
        <v>3132</v>
      </c>
      <c r="T12" s="380"/>
      <c r="U12" s="170"/>
    </row>
    <row r="13" spans="2:23" s="7" customFormat="1" ht="21" x14ac:dyDescent="0.25">
      <c r="B13" s="345" t="str">
        <f>"Water / Flaked Ice"</f>
        <v>Water / Flaked Ice</v>
      </c>
      <c r="C13" s="345"/>
      <c r="D13" s="345"/>
      <c r="E13" s="345"/>
      <c r="F13" s="345"/>
      <c r="G13" s="345"/>
      <c r="H13" s="345"/>
      <c r="I13" s="179"/>
      <c r="J13" s="91"/>
      <c r="K13" s="92">
        <f>Water2/Meat2</f>
        <v>0.45750000000000002</v>
      </c>
      <c r="L13" s="92"/>
      <c r="M13" s="93">
        <f>Meat2*YieldIncrease-SUM(M16:M20)</f>
        <v>4.5750000000000002</v>
      </c>
      <c r="N13" s="179" t="str">
        <f>IF(M13&lt;&gt;"","kg","")</f>
        <v>kg</v>
      </c>
      <c r="O13" s="214">
        <v>0.01</v>
      </c>
      <c r="P13" s="14" t="str">
        <f>IF(O13&lt;&gt;"","EUR","")</f>
        <v>EUR</v>
      </c>
      <c r="Q13" s="12">
        <f>IF(O13&lt;&gt;"",ROUND(O13*M13,2),"")</f>
        <v>0.05</v>
      </c>
      <c r="R13" s="13" t="str">
        <f>IF(Q13&lt;&gt;"","EUR","")</f>
        <v>EUR</v>
      </c>
      <c r="S13" s="380"/>
      <c r="T13" s="380"/>
      <c r="U13" s="170"/>
    </row>
    <row r="14" spans="2:23" s="70" customFormat="1" ht="25" customHeight="1" x14ac:dyDescent="0.25">
      <c r="B14" s="346" t="s">
        <v>85</v>
      </c>
      <c r="C14" s="346"/>
      <c r="D14" s="346"/>
      <c r="E14" s="346"/>
      <c r="F14" s="346"/>
      <c r="G14" s="346"/>
      <c r="H14" s="346"/>
      <c r="I14" s="346"/>
      <c r="J14" s="281"/>
      <c r="K14" s="94">
        <f>MeatAndWater2/Meat2</f>
        <v>1.4575</v>
      </c>
      <c r="L14" s="94"/>
      <c r="M14" s="95">
        <f>SUM(Meat2,Water2)</f>
        <v>14.574999999999999</v>
      </c>
      <c r="N14" s="281" t="s">
        <v>0</v>
      </c>
      <c r="O14" s="213" t="str">
        <f>"ø "&amp;ROUND(Q14/SUM(Meat2,M13),3)</f>
        <v>ø 2,062</v>
      </c>
      <c r="P14" s="75" t="str">
        <f>P16</f>
        <v>EUR</v>
      </c>
      <c r="Q14" s="76">
        <f>SUM(Q10:Q13)</f>
        <v>30.05</v>
      </c>
      <c r="R14" s="75" t="str">
        <f>R16</f>
        <v>EUR</v>
      </c>
      <c r="S14" s="380"/>
      <c r="T14" s="380"/>
      <c r="U14" s="170"/>
      <c r="V14" s="7"/>
      <c r="W14" s="7"/>
    </row>
    <row r="15" spans="2:23" s="77" customFormat="1" ht="25" customHeight="1" x14ac:dyDescent="0.25">
      <c r="B15" s="355" t="s">
        <v>34</v>
      </c>
      <c r="C15" s="355"/>
      <c r="D15" s="96" t="s">
        <v>43</v>
      </c>
      <c r="E15" s="386" t="s">
        <v>3169</v>
      </c>
      <c r="F15" s="387"/>
      <c r="G15" s="387"/>
      <c r="H15" s="387"/>
      <c r="I15" s="387"/>
      <c r="J15" s="278"/>
      <c r="K15" s="355" t="s">
        <v>86</v>
      </c>
      <c r="L15" s="355"/>
      <c r="M15" s="355"/>
      <c r="N15" s="355"/>
      <c r="O15" s="384" t="s">
        <v>3144</v>
      </c>
      <c r="P15" s="384"/>
      <c r="Q15" s="384" t="s">
        <v>3039</v>
      </c>
      <c r="R15" s="384"/>
      <c r="S15" s="379" t="s">
        <v>1462</v>
      </c>
      <c r="T15" s="379"/>
      <c r="U15" s="170"/>
      <c r="V15" s="7"/>
    </row>
    <row r="16" spans="2:23" ht="21" customHeight="1" thickBot="1" x14ac:dyDescent="0.3">
      <c r="B16" s="349">
        <v>11016</v>
      </c>
      <c r="C16" s="349"/>
      <c r="D16" s="97" t="str">
        <f>IF(ISNA(VLOOKUP(B16,AllData,2,0)),"",HYPERLINK(VLOOKUP(B16,AllData,7,0),"📌"))</f>
        <v>📌</v>
      </c>
      <c r="E16" s="356" t="str">
        <f>IF(ISNA(VLOOKUP(B16,AllData,2)),"",VLOOKUP(B16,AllData,2))</f>
        <v>AGAGEL® 400</v>
      </c>
      <c r="F16" s="356"/>
      <c r="G16" s="356"/>
      <c r="H16" s="356"/>
      <c r="I16" s="385"/>
      <c r="J16" s="385"/>
      <c r="K16" s="99">
        <f>M16/MeatAndWater2</f>
        <v>2.5728987993138937E-2</v>
      </c>
      <c r="L16" s="99"/>
      <c r="M16" s="100">
        <f>IF(TumbledOrIuT="Tumbled",IF(INDEX(Tumbled[#All],MATCH(B16,Tumbled[[#All],[Zugamemengen/Yield Increase]],0),MATCH(YieldIncrease,Functions!AL3:BC3,0))&lt;&gt;"",(Meat2+Meat2*YieldIncrease)*(INDEX(Tumbled[#All],MATCH(B16,Tumbled[[#All],[Zugamemengen/Yield Increase]],0),MATCH(YieldIncrease,Functions!AL3:BC3,0))),(Meat2+Meat2*YieldIncrease)*INDEX(Tumbled[#All],MATCH(B16,Tumbled[[#All],[Zugamemengen/Yield Increase]],0),3)),IF(AND(TumbledOrIuT="Injected &amp; Tumbled",WholeOrRestructured="Whole Muscle"),IF(INDEX(WholeMuscleIuT[#All],MATCH(B16,WholeMuscleIuT[[#All],[Zugamemengen/Yield Increase]],0),MATCH(YieldIncrease,Functions!BE3:BQ3,0))&lt;&gt;"",(Meat2+Meat2*YieldIncrease)*(INDEX(WholeMuscleIuT[#All],MATCH(B16,WholeMuscleIuT[[#All],[Zugamemengen/Yield Increase]],0),MATCH(YieldIncrease,Functions!BE3:BQ3,0))),(Meat2+Meat2*YieldIncrease)*INDEX(WholeMuscleIuT[#All],MATCH(B16,WholeMuscleIuT[[#All],[Zugamemengen/Yield Increase]],0),3)),IF(AND(TumbledOrIuT="Injected &amp; Tumbled",WholeOrRestructured="Restructured"),IF(INDEX(RestructuredIuT[#All],MATCH(B16,RestructuredIuT[[#All],[Zugamemengen/Yield Increase]],0),MATCH(YieldIncrease,Functions!BS3:CQ3,0))&lt;&gt;"",(Meat2+Meat2*YieldIncrease)*(INDEX(RestructuredIuT[#All],MATCH(B16,WholeMuscleIuT[[#All],[Zugamemengen/Yield Increase]],0),MATCH(YieldIncrease,Functions!BS3:CQ3,0))),(Meat2+Meat2*YieldIncrease)*INDEX(RestructuredIuT[#All],MATCH(B16,RestructuredIuT[[#All],[Zugamemengen/Yield Increase]],0),3)),"")))</f>
        <v>0.375</v>
      </c>
      <c r="N16" s="101" t="str">
        <f t="shared" ref="N16:N22" si="0">IF(M16&lt;&gt;"","kg","")</f>
        <v>kg</v>
      </c>
      <c r="O16" s="212">
        <f t="shared" ref="O16:O20" si="1">IF(ISNA(VLOOKUP(B16,AllData,2,0)),"",VLOOKUP(B16,AllData,4,0))</f>
        <v>9.4</v>
      </c>
      <c r="P16" s="9" t="str">
        <f t="shared" ref="P16:P20" si="2">IF(O16&lt;&gt;"","EUR","")</f>
        <v>EUR</v>
      </c>
      <c r="Q16" s="10">
        <f t="shared" ref="Q16:Q20" si="3">IF(O16&lt;&gt;"",ROUND(O16*M16,2),"")</f>
        <v>3.53</v>
      </c>
      <c r="R16" s="11" t="str">
        <f>IF(Q16&lt;&gt;"","EUR","")</f>
        <v>EUR</v>
      </c>
      <c r="T16" s="296">
        <f>M16*VLOOKUP(B16,AllData,3)</f>
        <v>0.11103749999999998</v>
      </c>
      <c r="U16" s="83" t="s">
        <v>0</v>
      </c>
    </row>
    <row r="17" spans="2:22" ht="21" customHeight="1" x14ac:dyDescent="0.25">
      <c r="B17" s="349"/>
      <c r="C17" s="349"/>
      <c r="D17" s="97" t="str">
        <f t="shared" ref="D17" si="4">IF(ISNA(VLOOKUP(B17,AllData,2,0)),"",HYPERLINK(VLOOKUP(B17,AllData,7,0),"📌"))</f>
        <v/>
      </c>
      <c r="E17" s="356" t="s">
        <v>9</v>
      </c>
      <c r="F17" s="356"/>
      <c r="G17" s="356"/>
      <c r="H17" s="356"/>
      <c r="I17" s="385"/>
      <c r="J17" s="385"/>
      <c r="K17" s="99">
        <f>M17/MeatAndWater2</f>
        <v>3.4305317324185253E-3</v>
      </c>
      <c r="L17" s="99"/>
      <c r="M17" s="100">
        <f>ROUND(SUM(Meat2,Meat2*YieldIncrease,OptionalIngredients)*SaltContent-SaltSum,2)</f>
        <v>0.05</v>
      </c>
      <c r="N17" s="101" t="str">
        <f>IF(M17&lt;&gt;"","kg","")</f>
        <v>kg</v>
      </c>
      <c r="O17" s="271">
        <v>7.0000000000000007E-2</v>
      </c>
      <c r="P17" s="9" t="str">
        <f t="shared" si="2"/>
        <v>EUR</v>
      </c>
      <c r="Q17" s="10">
        <f t="shared" si="3"/>
        <v>0</v>
      </c>
      <c r="R17" s="11" t="str">
        <f t="shared" ref="R17:R22" si="5">IF(Q17&lt;&gt;"","EUR","")</f>
        <v>EUR</v>
      </c>
      <c r="T17" s="296"/>
    </row>
    <row r="18" spans="2:22" ht="21" x14ac:dyDescent="0.25">
      <c r="B18" s="402">
        <f>IF(G6="Tumbled",11055,IF(G6="Injected &amp; Tumbled",11069,""))</f>
        <v>11069</v>
      </c>
      <c r="C18" s="402"/>
      <c r="D18" s="255" t="str">
        <f t="shared" ref="D18:D20" si="6">IF(ISNA(VLOOKUP(B18,AllData,2,0)),"",HYPERLINK(VLOOKUP(B18,AllData,7,0),"📌"))</f>
        <v>📌</v>
      </c>
      <c r="E18" s="381" t="str">
        <f>IF(ISNA(VLOOKUP(B18,AllData,2)),"",VLOOKUP(B18,AllData,2))</f>
        <v>FibreMaxx WF 90</v>
      </c>
      <c r="F18" s="381"/>
      <c r="G18" s="381"/>
      <c r="H18" s="381"/>
      <c r="I18" s="283" t="s">
        <v>3164</v>
      </c>
      <c r="J18" s="265" t="s">
        <v>1490</v>
      </c>
      <c r="K18" s="256" t="s">
        <v>3136</v>
      </c>
      <c r="L18" s="266" t="s">
        <v>1493</v>
      </c>
      <c r="M18" s="108">
        <f>IF($G$6="Injected &amp; Tumbled",(Meat2*YieldIncrease*(IF(K18="low",0.5%,IF(K18="medium",0.75%,IF(K18="high",1%))))),IF($G$6="Tumbled",((Meat2+Meat2*YieldIncrease)*IF(K18="low",0.5%,IF(K18="medium",1%,IF(K18="high",1.5%,0))))))</f>
        <v>0</v>
      </c>
      <c r="N18" s="257" t="str">
        <f>IF(M18&lt;&gt;"","kg","")</f>
        <v>kg</v>
      </c>
      <c r="O18" s="258">
        <f t="shared" si="1"/>
        <v>3.05</v>
      </c>
      <c r="P18" s="259" t="str">
        <f t="shared" si="2"/>
        <v>EUR</v>
      </c>
      <c r="Q18" s="260">
        <f t="shared" si="3"/>
        <v>0</v>
      </c>
      <c r="R18" s="261" t="str">
        <f t="shared" si="5"/>
        <v>EUR</v>
      </c>
      <c r="T18" s="296">
        <f>M18*VLOOKUP(B18,AllData,3)</f>
        <v>0</v>
      </c>
      <c r="U18" s="83" t="s">
        <v>0</v>
      </c>
    </row>
    <row r="19" spans="2:22" ht="21" x14ac:dyDescent="0.25">
      <c r="B19" s="349">
        <v>51008</v>
      </c>
      <c r="C19" s="349"/>
      <c r="D19" s="97" t="str">
        <f t="shared" ref="D19" si="7">IF(ISNA(VLOOKUP(B19,AllData,2,0)),"",HYPERLINK(VLOOKUP(B19,AllData,7,0),"📌"))</f>
        <v>📌</v>
      </c>
      <c r="E19" s="356" t="str">
        <f>IF(ISNA(VLOOKUP(B19,AllData,2)),"",VLOOKUP(B19,AllData,2))</f>
        <v>BouillonMaxx Chicken [MSG-free]</v>
      </c>
      <c r="F19" s="356"/>
      <c r="G19" s="356"/>
      <c r="H19" s="356"/>
      <c r="I19" s="98" t="s">
        <v>3164</v>
      </c>
      <c r="J19" s="264" t="s">
        <v>1490</v>
      </c>
      <c r="K19" s="206" t="s">
        <v>3136</v>
      </c>
      <c r="L19" s="267" t="s">
        <v>1493</v>
      </c>
      <c r="M19" s="100">
        <f>IF(G6="Injected &amp; Tumbled",(Meat2*YieldIncrease*(IF(K19="mild",2%,IF(K19="normal",3.5%,IF(K19="strong",5%,0))))),IF($G$6="Tumbled",((Meat2+Meat2*YieldIncrease)*IF(K19="mild",0.5%,IF(K19="normal",0.75%,IF(K19="strong",1%,0))))))</f>
        <v>0</v>
      </c>
      <c r="N19" s="101" t="str">
        <f>IF(M19&lt;&gt;"","kg","")</f>
        <v>kg</v>
      </c>
      <c r="O19" s="212">
        <f t="shared" ref="O19" si="8">IF(ISNA(VLOOKUP(B19,AllData,2,0)),"",VLOOKUP(B19,AllData,4,0))</f>
        <v>8.9</v>
      </c>
      <c r="P19" s="9" t="str">
        <f t="shared" ref="P19" si="9">IF(O19&lt;&gt;"","EUR","")</f>
        <v>EUR</v>
      </c>
      <c r="Q19" s="10">
        <f t="shared" ref="Q19" si="10">IF(O19&lt;&gt;"",ROUND(O19*M19,2),"")</f>
        <v>0</v>
      </c>
      <c r="R19" s="11" t="str">
        <f t="shared" ref="R19" si="11">IF(Q19&lt;&gt;"","EUR","")</f>
        <v>EUR</v>
      </c>
      <c r="T19" s="296">
        <f>M19*VLOOKUP(B19,AllData,3)</f>
        <v>0</v>
      </c>
      <c r="U19" s="83" t="s">
        <v>0</v>
      </c>
    </row>
    <row r="20" spans="2:22" ht="21" x14ac:dyDescent="0.25">
      <c r="B20" s="372">
        <v>11146</v>
      </c>
      <c r="C20" s="372"/>
      <c r="D20" s="225" t="str">
        <f t="shared" si="6"/>
        <v>📌</v>
      </c>
      <c r="E20" s="373" t="str">
        <f t="shared" ref="E20" si="12">IF(ISNA(VLOOKUP(B20,AllData,2)),"",VLOOKUP(B20,AllData,2))</f>
        <v>RoMaxx MB liquid</v>
      </c>
      <c r="F20" s="373"/>
      <c r="G20" s="373"/>
      <c r="H20" s="373"/>
      <c r="I20" s="226" t="s">
        <v>3165</v>
      </c>
      <c r="J20" s="285" t="s">
        <v>1490</v>
      </c>
      <c r="K20" s="286" t="s">
        <v>3134</v>
      </c>
      <c r="L20" s="287" t="s">
        <v>1493</v>
      </c>
      <c r="M20" s="227">
        <f>IF(K20="use",ROUND(0.2%*(Meat2+Meat2*YieldIncrease),2),0)</f>
        <v>0</v>
      </c>
      <c r="N20" s="251" t="str">
        <f t="shared" ref="N20" si="13">IF(M20&lt;&gt;"","kg","")</f>
        <v>kg</v>
      </c>
      <c r="O20" s="228">
        <f t="shared" si="1"/>
        <v>9.9</v>
      </c>
      <c r="P20" s="229" t="str">
        <f t="shared" si="2"/>
        <v>EUR</v>
      </c>
      <c r="Q20" s="230">
        <f t="shared" si="3"/>
        <v>0</v>
      </c>
      <c r="R20" s="231" t="str">
        <f t="shared" si="5"/>
        <v>EUR</v>
      </c>
      <c r="T20" s="296">
        <f>M20*VLOOKUP(B20,AllData,3)</f>
        <v>0</v>
      </c>
      <c r="U20" s="83" t="s">
        <v>0</v>
      </c>
    </row>
    <row r="21" spans="2:22" s="77" customFormat="1" ht="25" customHeight="1" x14ac:dyDescent="0.25">
      <c r="B21" s="166"/>
      <c r="C21" s="166"/>
      <c r="D21" s="102"/>
      <c r="E21" s="354" t="s">
        <v>3168</v>
      </c>
      <c r="F21" s="354"/>
      <c r="G21" s="354"/>
      <c r="H21" s="354"/>
      <c r="I21" s="354"/>
      <c r="J21" s="262"/>
      <c r="K21" s="103" t="s">
        <v>1494</v>
      </c>
      <c r="L21" s="263"/>
      <c r="M21" s="103">
        <f>SUM(MeatAndWater2,M16:M20)</f>
        <v>15</v>
      </c>
      <c r="N21" s="104" t="s">
        <v>0</v>
      </c>
      <c r="O21" s="383"/>
      <c r="P21" s="383"/>
      <c r="Q21" s="383"/>
      <c r="R21" s="383"/>
      <c r="S21" s="297"/>
      <c r="T21" s="296"/>
      <c r="U21" s="83"/>
      <c r="V21" s="7"/>
    </row>
    <row r="22" spans="2:22" ht="21" customHeight="1" x14ac:dyDescent="0.25">
      <c r="B22" s="350">
        <v>52051</v>
      </c>
      <c r="C22" s="350"/>
      <c r="D22" s="97" t="str">
        <f t="shared" ref="D22" si="14">IF(ISNA(VLOOKUP(B22,AllData,2,0)),"",HYPERLINK(VLOOKUP(B22,AllData,7,0),"📌"))</f>
        <v>📌</v>
      </c>
      <c r="E22" s="397" t="str">
        <f t="shared" ref="E22" si="15">IF(ISNA(VLOOKUP(B22,AllData,2)),"",VLOOKUP(B22,AllData,2))</f>
        <v>Kebap Seasoning</v>
      </c>
      <c r="F22" s="397"/>
      <c r="G22" s="397"/>
      <c r="H22" s="397"/>
      <c r="I22" s="279"/>
      <c r="J22" s="264" t="s">
        <v>1490</v>
      </c>
      <c r="K22" s="286" t="s">
        <v>3133</v>
      </c>
      <c r="L22" s="267" t="s">
        <v>1493</v>
      </c>
      <c r="M22" s="105">
        <f>IF(K22="use",ROUND(1%*(Meat2+Meat2*YieldIncrease),2),0)</f>
        <v>0.15</v>
      </c>
      <c r="N22" s="106" t="str">
        <f t="shared" si="0"/>
        <v>kg</v>
      </c>
      <c r="O22" s="212">
        <f t="shared" ref="O22" si="16">IF(ISNA(VLOOKUP(B22,AllData,2,0)),"",VLOOKUP(B22,AllData,4,0))</f>
        <v>7.4</v>
      </c>
      <c r="P22" s="9" t="str">
        <f>IF(O22&lt;&gt;"","EUR","")</f>
        <v>EUR</v>
      </c>
      <c r="Q22" s="10">
        <f t="shared" ref="Q22" si="17">IF(O22&lt;&gt;"",ROUND(O22*M22,2),"")</f>
        <v>1.1100000000000001</v>
      </c>
      <c r="R22" s="11" t="str">
        <f t="shared" si="5"/>
        <v>EUR</v>
      </c>
      <c r="T22" s="296">
        <f t="shared" ref="T22" si="18">M22*VLOOKUP(B22,AllData,3)</f>
        <v>6.198E-2</v>
      </c>
      <c r="U22" s="83" t="s">
        <v>0</v>
      </c>
    </row>
    <row r="23" spans="2:22" ht="22" thickBot="1" x14ac:dyDescent="0.3">
      <c r="B23" s="396" t="s">
        <v>35</v>
      </c>
      <c r="C23" s="396"/>
      <c r="D23" s="396"/>
      <c r="E23" s="396"/>
      <c r="F23" s="396"/>
      <c r="G23" s="396"/>
      <c r="H23" s="396"/>
      <c r="I23" s="396"/>
      <c r="J23" s="275"/>
      <c r="K23" s="107">
        <f>M23/MeatAndWater2</f>
        <v>3.9451114922813113E-2</v>
      </c>
      <c r="L23" s="107"/>
      <c r="M23" s="108">
        <f>SUM(M16:M22)-M21</f>
        <v>0.57500000000000107</v>
      </c>
      <c r="N23" s="250" t="s">
        <v>0</v>
      </c>
      <c r="O23" s="236" t="str">
        <f>"ø "&amp;ROUND(Q23/M23,2)</f>
        <v>ø 8,07</v>
      </c>
      <c r="P23" s="110" t="str">
        <f>P16</f>
        <v>EUR</v>
      </c>
      <c r="Q23" s="111">
        <f>SUM(Q16:Q22)</f>
        <v>4.6399999999999997</v>
      </c>
      <c r="R23" s="112" t="str">
        <f>R16</f>
        <v>EUR</v>
      </c>
      <c r="S23" s="296" t="s">
        <v>3131</v>
      </c>
      <c r="T23" s="296">
        <f>SUM(T16:T22)</f>
        <v>0.17301749999999999</v>
      </c>
      <c r="U23" s="83" t="s">
        <v>0</v>
      </c>
    </row>
    <row r="24" spans="2:22" ht="35" customHeight="1" thickBot="1" x14ac:dyDescent="0.25">
      <c r="B24" s="347" t="s">
        <v>3044</v>
      </c>
      <c r="C24" s="347"/>
      <c r="D24" s="347"/>
      <c r="E24" s="347"/>
      <c r="F24" s="347"/>
      <c r="G24" s="347"/>
      <c r="H24" s="347"/>
      <c r="I24" s="347"/>
      <c r="J24" s="276"/>
      <c r="K24" s="348">
        <f>ROUND(MeatAndWater2+M23,2)</f>
        <v>15.15</v>
      </c>
      <c r="L24" s="348"/>
      <c r="M24" s="348"/>
      <c r="N24" s="113" t="s">
        <v>0</v>
      </c>
      <c r="O24" s="211">
        <f>Q24/K24</f>
        <v>2.2897689768976894</v>
      </c>
      <c r="P24" s="189" t="str">
        <f>"€ / kg"</f>
        <v>€ / kg</v>
      </c>
      <c r="Q24" s="190">
        <f>SUM(Q14,Q23)</f>
        <v>34.69</v>
      </c>
      <c r="R24" s="191" t="str">
        <f>R16</f>
        <v>EUR</v>
      </c>
      <c r="U24" s="224"/>
    </row>
    <row r="25" spans="2:22" ht="11" customHeight="1" x14ac:dyDescent="0.2">
      <c r="B25" s="114"/>
      <c r="C25" s="114"/>
      <c r="D25" s="114"/>
      <c r="E25" s="114"/>
      <c r="F25" s="114"/>
      <c r="G25" s="114"/>
      <c r="H25" s="114"/>
      <c r="I25" s="114"/>
      <c r="J25" s="114"/>
      <c r="K25" s="114"/>
      <c r="L25" s="114"/>
      <c r="M25" s="114"/>
      <c r="N25" s="114"/>
      <c r="O25" s="192"/>
      <c r="P25" s="193"/>
      <c r="Q25" s="194"/>
      <c r="R25" s="193"/>
    </row>
    <row r="26" spans="2:22" s="77" customFormat="1" ht="26" customHeight="1" x14ac:dyDescent="0.25">
      <c r="B26" s="290" t="s">
        <v>34</v>
      </c>
      <c r="C26" s="290"/>
      <c r="D26" s="291" t="s">
        <v>43</v>
      </c>
      <c r="E26" s="394" t="s">
        <v>3180</v>
      </c>
      <c r="F26" s="395"/>
      <c r="G26" s="395"/>
      <c r="H26" s="395"/>
      <c r="I26" s="395"/>
      <c r="J26" s="395"/>
      <c r="K26" s="398"/>
      <c r="L26" s="398"/>
      <c r="M26" s="398"/>
      <c r="N26" s="398"/>
      <c r="O26" s="388" t="s">
        <v>3143</v>
      </c>
      <c r="P26" s="388"/>
      <c r="Q26" s="388"/>
      <c r="R26" s="388"/>
      <c r="S26" s="223"/>
      <c r="T26" s="170"/>
      <c r="U26" s="170"/>
      <c r="V26" s="7"/>
    </row>
    <row r="27" spans="2:22" ht="21" customHeight="1" x14ac:dyDescent="0.2">
      <c r="B27" s="349">
        <v>88071</v>
      </c>
      <c r="C27" s="349"/>
      <c r="D27" s="216" t="str">
        <f t="shared" ref="D27" si="19">IF(ISNA(VLOOKUP(B27,AllData,2,0)),"",HYPERLINK(VLOOKUP(B27,AllData,7,0),"📌"))</f>
        <v>📌</v>
      </c>
      <c r="E27" s="356" t="str">
        <f t="shared" ref="E27" si="20">IF(ISNA(VLOOKUP(B27,AllData,2,0)),"",VLOOKUP(B27,AllData,2,0))</f>
        <v>Tumbler-Marinator by GLASS - 50 l</v>
      </c>
      <c r="F27" s="356"/>
      <c r="G27" s="356"/>
      <c r="H27" s="356"/>
      <c r="I27" s="360" t="s">
        <v>3181</v>
      </c>
      <c r="J27" s="360"/>
      <c r="K27" s="360"/>
      <c r="L27" s="360"/>
      <c r="M27" s="360"/>
      <c r="N27" s="360"/>
      <c r="O27" s="389" t="s">
        <v>3129</v>
      </c>
      <c r="P27" s="389"/>
      <c r="Q27" s="389"/>
      <c r="R27" s="389"/>
      <c r="S27" s="223"/>
      <c r="T27" s="223"/>
    </row>
    <row r="28" spans="2:22" ht="21" customHeight="1" x14ac:dyDescent="0.2">
      <c r="B28" s="349">
        <v>89311</v>
      </c>
      <c r="C28" s="349"/>
      <c r="D28" s="216" t="str">
        <f t="shared" ref="D28:D32" si="21">IF(ISNA(VLOOKUP(B28,AllData,2,0)),"",HYPERLINK(VLOOKUP(B28,AllData,7,0),"📌"))</f>
        <v>📌</v>
      </c>
      <c r="E28" s="356" t="str">
        <f t="shared" ref="E28:E36" si="22">IF(ISNA(VLOOKUP(B28,AllData,2,0)),"",VLOOKUP(B28,AllData,2,0))</f>
        <v>Doner Sleeves [Aluminium]</v>
      </c>
      <c r="F28" s="356"/>
      <c r="G28" s="356"/>
      <c r="H28" s="356"/>
      <c r="I28" s="360" t="s">
        <v>3182</v>
      </c>
      <c r="J28" s="360"/>
      <c r="K28" s="360"/>
      <c r="L28" s="360"/>
      <c r="M28" s="360"/>
      <c r="N28" s="360"/>
      <c r="O28" s="389"/>
      <c r="P28" s="389"/>
      <c r="Q28" s="389"/>
      <c r="R28" s="389"/>
      <c r="S28" s="223"/>
      <c r="T28" s="223"/>
    </row>
    <row r="29" spans="2:22" ht="21" customHeight="1" x14ac:dyDescent="0.2">
      <c r="B29" s="349">
        <v>89333</v>
      </c>
      <c r="C29" s="349"/>
      <c r="D29" s="216" t="str">
        <f t="shared" si="21"/>
        <v>📌</v>
      </c>
      <c r="E29" s="356" t="str">
        <f t="shared" si="22"/>
        <v>Doner Kebap Skewer</v>
      </c>
      <c r="F29" s="356"/>
      <c r="G29" s="356"/>
      <c r="H29" s="356"/>
      <c r="I29" s="360" t="s">
        <v>3183</v>
      </c>
      <c r="J29" s="360"/>
      <c r="K29" s="360"/>
      <c r="L29" s="360"/>
      <c r="M29" s="360"/>
      <c r="N29" s="360"/>
      <c r="O29" s="389"/>
      <c r="P29" s="389"/>
      <c r="Q29" s="389"/>
      <c r="R29" s="389"/>
      <c r="S29" s="223"/>
      <c r="T29" s="223"/>
    </row>
    <row r="30" spans="2:22" ht="21" customHeight="1" x14ac:dyDescent="0.2">
      <c r="B30" s="349">
        <v>89332</v>
      </c>
      <c r="C30" s="349"/>
      <c r="D30" s="216" t="str">
        <f t="shared" si="21"/>
        <v>📌</v>
      </c>
      <c r="E30" s="356" t="str">
        <f t="shared" si="22"/>
        <v>Doner Spike (Skewering Aid) round</v>
      </c>
      <c r="F30" s="356"/>
      <c r="G30" s="356"/>
      <c r="H30" s="356"/>
      <c r="I30" s="360" t="s">
        <v>3184</v>
      </c>
      <c r="J30" s="360"/>
      <c r="K30" s="360"/>
      <c r="L30" s="360"/>
      <c r="M30" s="360"/>
      <c r="N30" s="360"/>
      <c r="O30" s="389"/>
      <c r="P30" s="389"/>
      <c r="Q30" s="389"/>
      <c r="R30" s="389"/>
      <c r="S30" s="223"/>
      <c r="T30" s="223"/>
    </row>
    <row r="31" spans="2:22" ht="21" customHeight="1" x14ac:dyDescent="0.2">
      <c r="B31" s="349">
        <v>89334</v>
      </c>
      <c r="C31" s="349"/>
      <c r="D31" s="216" t="str">
        <f t="shared" si="21"/>
        <v>📌</v>
      </c>
      <c r="E31" s="356" t="str">
        <f t="shared" si="22"/>
        <v>Doner Footplate</v>
      </c>
      <c r="F31" s="356"/>
      <c r="G31" s="356"/>
      <c r="H31" s="356"/>
      <c r="I31" s="360" t="s">
        <v>3185</v>
      </c>
      <c r="J31" s="360"/>
      <c r="K31" s="360"/>
      <c r="L31" s="360"/>
      <c r="M31" s="360"/>
      <c r="N31" s="360"/>
      <c r="O31" s="389"/>
      <c r="P31" s="389"/>
      <c r="Q31" s="389"/>
      <c r="R31" s="389"/>
      <c r="S31" s="223"/>
      <c r="T31" s="223"/>
    </row>
    <row r="32" spans="2:22" ht="21" customHeight="1" x14ac:dyDescent="0.2">
      <c r="B32" s="349">
        <v>89335</v>
      </c>
      <c r="C32" s="349"/>
      <c r="D32" s="216" t="str">
        <f t="shared" si="21"/>
        <v>📌</v>
      </c>
      <c r="E32" s="356" t="str">
        <f t="shared" si="22"/>
        <v>Star Base Square Tube</v>
      </c>
      <c r="F32" s="356"/>
      <c r="G32" s="356"/>
      <c r="H32" s="356"/>
      <c r="I32" s="360" t="s">
        <v>3186</v>
      </c>
      <c r="J32" s="360"/>
      <c r="K32" s="360"/>
      <c r="L32" s="360"/>
      <c r="M32" s="360"/>
      <c r="N32" s="360"/>
      <c r="O32" s="389"/>
      <c r="P32" s="389"/>
      <c r="Q32" s="389"/>
      <c r="R32" s="389"/>
      <c r="S32" s="223"/>
      <c r="T32" s="223"/>
    </row>
    <row r="33" spans="2:24" ht="21" customHeight="1" x14ac:dyDescent="0.2">
      <c r="B33" s="349">
        <v>89337</v>
      </c>
      <c r="C33" s="349"/>
      <c r="D33" s="216" t="str">
        <f t="shared" ref="D33" si="23">IF(ISNA(VLOOKUP(B33,AllData,2,0)),"",HYPERLINK(VLOOKUP(B33,AllData,7,0),"📌"))</f>
        <v>📌</v>
      </c>
      <c r="E33" s="356" t="str">
        <f t="shared" si="22"/>
        <v>Doner Kebap Trolley, stainless steel, 2 Levels</v>
      </c>
      <c r="F33" s="356"/>
      <c r="G33" s="356"/>
      <c r="H33" s="356"/>
      <c r="I33" s="360" t="s">
        <v>3187</v>
      </c>
      <c r="J33" s="360"/>
      <c r="K33" s="360"/>
      <c r="L33" s="360"/>
      <c r="M33" s="360"/>
      <c r="N33" s="360"/>
      <c r="O33" s="389"/>
      <c r="P33" s="389"/>
      <c r="Q33" s="389"/>
      <c r="R33" s="389"/>
      <c r="S33" s="223"/>
      <c r="T33" s="223"/>
    </row>
    <row r="34" spans="2:24" ht="21" customHeight="1" x14ac:dyDescent="0.2">
      <c r="B34" s="349">
        <v>89336</v>
      </c>
      <c r="C34" s="349"/>
      <c r="D34" s="216" t="str">
        <f t="shared" ref="D34" si="24">IF(ISNA(VLOOKUP(B34,AllData,2,0)),"",HYPERLINK(VLOOKUP(B34,AllData,7,0),"📌"))</f>
        <v>📌</v>
      </c>
      <c r="E34" s="356" t="str">
        <f t="shared" si="22"/>
        <v>Doner Transport Trolley stainless steel</v>
      </c>
      <c r="F34" s="356"/>
      <c r="G34" s="356"/>
      <c r="H34" s="356"/>
      <c r="I34" s="360" t="s">
        <v>3188</v>
      </c>
      <c r="J34" s="360"/>
      <c r="K34" s="360"/>
      <c r="L34" s="360"/>
      <c r="M34" s="360"/>
      <c r="N34" s="360"/>
      <c r="O34" s="389"/>
      <c r="P34" s="389"/>
      <c r="Q34" s="389"/>
      <c r="R34" s="389"/>
      <c r="S34" s="223"/>
      <c r="T34" s="223"/>
    </row>
    <row r="35" spans="2:24" ht="21" customHeight="1" x14ac:dyDescent="0.2">
      <c r="B35" s="349">
        <v>89065</v>
      </c>
      <c r="C35" s="349"/>
      <c r="D35" s="216" t="str">
        <f t="shared" ref="D35:D36" si="25">IF(ISNA(VLOOKUP(B35,AllData,2,0)),"",HYPERLINK(VLOOKUP(B35,AllData,7,0),"📌"))</f>
        <v>📌</v>
      </c>
      <c r="E35" s="356" t="str">
        <f t="shared" si="22"/>
        <v>Grill Unit E3 by Potis</v>
      </c>
      <c r="F35" s="356"/>
      <c r="G35" s="356"/>
      <c r="H35" s="356"/>
      <c r="I35" s="360" t="s">
        <v>3189</v>
      </c>
      <c r="J35" s="360"/>
      <c r="K35" s="360"/>
      <c r="L35" s="360"/>
      <c r="M35" s="360"/>
      <c r="N35" s="360"/>
      <c r="O35" s="210"/>
      <c r="P35" s="210"/>
      <c r="Q35" s="210"/>
      <c r="R35" s="210"/>
      <c r="S35" s="223"/>
      <c r="T35" s="223"/>
    </row>
    <row r="36" spans="2:24" ht="21" customHeight="1" x14ac:dyDescent="0.2">
      <c r="B36" s="349">
        <v>89066</v>
      </c>
      <c r="C36" s="349"/>
      <c r="D36" s="216" t="str">
        <f t="shared" si="25"/>
        <v>📌</v>
      </c>
      <c r="E36" s="356" t="str">
        <f t="shared" si="22"/>
        <v>Knife ProfiLine S-150 Plus by Potis</v>
      </c>
      <c r="F36" s="356"/>
      <c r="G36" s="356"/>
      <c r="H36" s="356"/>
      <c r="I36" s="360" t="s">
        <v>3190</v>
      </c>
      <c r="J36" s="360"/>
      <c r="K36" s="360"/>
      <c r="L36" s="360"/>
      <c r="M36" s="360"/>
      <c r="N36" s="360"/>
      <c r="O36" s="210"/>
      <c r="P36" s="210"/>
      <c r="Q36" s="210"/>
      <c r="R36" s="210"/>
      <c r="S36" s="223"/>
      <c r="T36" s="223"/>
    </row>
    <row r="37" spans="2:24" ht="21" customHeight="1" x14ac:dyDescent="0.2">
      <c r="B37" s="292"/>
      <c r="C37" s="292"/>
      <c r="D37" s="117" t="s">
        <v>60</v>
      </c>
      <c r="E37" s="390" t="s">
        <v>3042</v>
      </c>
      <c r="F37" s="390"/>
      <c r="G37" s="390"/>
      <c r="H37" s="390"/>
      <c r="I37" s="390"/>
      <c r="J37" s="390"/>
      <c r="K37" s="390"/>
      <c r="L37" s="390"/>
      <c r="M37" s="390"/>
      <c r="N37" s="390"/>
      <c r="O37" s="210"/>
      <c r="P37" s="210"/>
      <c r="Q37" s="210"/>
      <c r="R37" s="210"/>
      <c r="S37" s="223"/>
    </row>
    <row r="38" spans="2:24" ht="10" customHeight="1" thickBot="1" x14ac:dyDescent="0.25">
      <c r="B38" s="115"/>
      <c r="C38" s="115"/>
      <c r="D38" s="115"/>
      <c r="E38" s="115"/>
      <c r="F38" s="115"/>
      <c r="G38" s="115"/>
      <c r="H38" s="115"/>
      <c r="I38" s="115"/>
      <c r="J38" s="115"/>
      <c r="K38" s="115"/>
      <c r="L38" s="115"/>
      <c r="M38" s="115"/>
      <c r="N38" s="115"/>
      <c r="O38" s="210"/>
      <c r="P38" s="210"/>
      <c r="Q38" s="210"/>
      <c r="R38" s="210"/>
    </row>
    <row r="39" spans="2:24" ht="25" thickTop="1" x14ac:dyDescent="0.25">
      <c r="B39" s="399" t="s">
        <v>3012</v>
      </c>
      <c r="C39" s="400"/>
      <c r="D39" s="400"/>
      <c r="E39" s="400"/>
      <c r="F39" s="400"/>
      <c r="G39" s="400"/>
      <c r="H39" s="400"/>
      <c r="I39" s="400"/>
      <c r="J39" s="400"/>
      <c r="K39" s="400"/>
      <c r="L39" s="400"/>
      <c r="M39" s="400"/>
      <c r="N39" s="401"/>
      <c r="O39" s="210"/>
      <c r="P39" s="210"/>
      <c r="Q39" s="210"/>
      <c r="R39" s="210"/>
      <c r="S39" s="298"/>
      <c r="T39" s="298"/>
      <c r="U39" s="298"/>
    </row>
    <row r="40" spans="2:24" ht="19" customHeight="1" x14ac:dyDescent="0.2">
      <c r="B40" s="186" t="s">
        <v>3010</v>
      </c>
      <c r="C40" s="366" t="s">
        <v>3214</v>
      </c>
      <c r="D40" s="366"/>
      <c r="E40" s="366"/>
      <c r="F40" s="366"/>
      <c r="G40" s="366"/>
      <c r="H40" s="366"/>
      <c r="I40" s="366"/>
      <c r="J40" s="366"/>
      <c r="K40" s="366"/>
      <c r="L40" s="366"/>
      <c r="M40" s="366"/>
      <c r="N40" s="367"/>
      <c r="O40" s="210"/>
      <c r="P40" s="210"/>
      <c r="Q40" s="210"/>
      <c r="R40" s="210"/>
      <c r="S40" s="223"/>
      <c r="T40" s="223"/>
      <c r="U40" s="223"/>
      <c r="V40" s="87"/>
      <c r="W40" s="87"/>
      <c r="X40" s="87"/>
    </row>
    <row r="41" spans="2:24" ht="20" customHeight="1" thickBot="1" x14ac:dyDescent="0.25">
      <c r="B41" s="404" t="s">
        <v>3191</v>
      </c>
      <c r="C41" s="405"/>
      <c r="D41" s="405"/>
      <c r="E41" s="405"/>
      <c r="F41" s="405"/>
      <c r="G41" s="405"/>
      <c r="H41" s="405"/>
      <c r="I41" s="405"/>
      <c r="J41" s="405"/>
      <c r="K41" s="405"/>
      <c r="L41" s="405"/>
      <c r="M41" s="405"/>
      <c r="N41" s="406"/>
    </row>
    <row r="42" spans="2:24" ht="10" customHeight="1" thickTop="1" thickBot="1" x14ac:dyDescent="0.25">
      <c r="B42" s="188"/>
      <c r="C42" s="188"/>
      <c r="D42" s="188"/>
      <c r="E42" s="188"/>
      <c r="F42" s="188"/>
      <c r="G42" s="188"/>
      <c r="H42" s="188"/>
      <c r="I42" s="188"/>
      <c r="J42" s="188"/>
      <c r="K42" s="188"/>
      <c r="L42" s="188"/>
      <c r="M42" s="188"/>
      <c r="N42" s="188"/>
      <c r="O42" s="210"/>
      <c r="P42" s="210"/>
      <c r="Q42" s="210"/>
      <c r="R42" s="210"/>
    </row>
    <row r="43" spans="2:24" ht="25" customHeight="1" thickTop="1" x14ac:dyDescent="0.2">
      <c r="B43" s="391" t="s">
        <v>3013</v>
      </c>
      <c r="C43" s="392"/>
      <c r="D43" s="392"/>
      <c r="E43" s="392"/>
      <c r="F43" s="392"/>
      <c r="G43" s="392"/>
      <c r="H43" s="392"/>
      <c r="I43" s="392"/>
      <c r="J43" s="392"/>
      <c r="K43" s="392"/>
      <c r="L43" s="392"/>
      <c r="M43" s="392"/>
      <c r="N43" s="393"/>
      <c r="O43" s="210"/>
      <c r="P43" s="210"/>
      <c r="Q43" s="210"/>
      <c r="R43" s="210"/>
    </row>
    <row r="44" spans="2:24" ht="20" customHeight="1" x14ac:dyDescent="0.2">
      <c r="B44" s="183" t="s">
        <v>3010</v>
      </c>
      <c r="C44" s="341" t="s">
        <v>3192</v>
      </c>
      <c r="D44" s="341"/>
      <c r="E44" s="341"/>
      <c r="F44" s="341"/>
      <c r="G44" s="341"/>
      <c r="H44" s="341"/>
      <c r="I44" s="341"/>
      <c r="J44" s="232"/>
      <c r="K44" s="407" t="s">
        <v>3147</v>
      </c>
      <c r="L44" s="407"/>
      <c r="M44" s="407"/>
      <c r="N44" s="408"/>
      <c r="O44" s="210"/>
      <c r="P44" s="210"/>
      <c r="Q44" s="210"/>
      <c r="R44" s="210"/>
    </row>
    <row r="45" spans="2:24" ht="19" customHeight="1" x14ac:dyDescent="0.2">
      <c r="B45" s="183" t="s">
        <v>3010</v>
      </c>
      <c r="C45" s="341" t="s">
        <v>3195</v>
      </c>
      <c r="D45" s="341"/>
      <c r="E45" s="341"/>
      <c r="F45" s="341"/>
      <c r="G45" s="341"/>
      <c r="H45" s="341"/>
      <c r="I45" s="341"/>
      <c r="J45" s="232"/>
      <c r="K45" s="407"/>
      <c r="L45" s="407"/>
      <c r="M45" s="407"/>
      <c r="N45" s="408"/>
    </row>
    <row r="46" spans="2:24" ht="20" customHeight="1" x14ac:dyDescent="0.2">
      <c r="B46" s="183" t="s">
        <v>3010</v>
      </c>
      <c r="C46" s="341" t="s">
        <v>3193</v>
      </c>
      <c r="D46" s="341"/>
      <c r="E46" s="341"/>
      <c r="F46" s="341"/>
      <c r="G46" s="341"/>
      <c r="H46" s="341"/>
      <c r="I46" s="341"/>
      <c r="J46" s="232"/>
      <c r="K46" s="407"/>
      <c r="L46" s="407"/>
      <c r="M46" s="407"/>
      <c r="N46" s="408"/>
    </row>
    <row r="47" spans="2:24" ht="20" customHeight="1" x14ac:dyDescent="0.2">
      <c r="B47" s="183" t="s">
        <v>3010</v>
      </c>
      <c r="C47" s="341" t="s">
        <v>3194</v>
      </c>
      <c r="D47" s="341"/>
      <c r="E47" s="341"/>
      <c r="F47" s="341"/>
      <c r="G47" s="341"/>
      <c r="H47" s="341"/>
      <c r="I47" s="341"/>
      <c r="J47" s="232"/>
      <c r="K47" s="407"/>
      <c r="L47" s="407"/>
      <c r="M47" s="407"/>
      <c r="N47" s="408"/>
    </row>
    <row r="48" spans="2:24" ht="10" customHeight="1" x14ac:dyDescent="0.2">
      <c r="B48" s="183"/>
      <c r="C48" s="232"/>
      <c r="D48" s="232"/>
      <c r="E48" s="232"/>
      <c r="F48" s="232"/>
      <c r="G48" s="232"/>
      <c r="H48" s="232"/>
      <c r="I48" s="232"/>
      <c r="J48" s="232"/>
      <c r="K48" s="244"/>
      <c r="L48" s="253"/>
      <c r="M48" s="244"/>
      <c r="N48" s="245"/>
    </row>
    <row r="49" spans="2:21" ht="20" customHeight="1" thickBot="1" x14ac:dyDescent="0.25">
      <c r="B49" s="363" t="s">
        <v>3160</v>
      </c>
      <c r="C49" s="364"/>
      <c r="D49" s="364"/>
      <c r="E49" s="364"/>
      <c r="F49" s="364"/>
      <c r="G49" s="364"/>
      <c r="H49" s="364"/>
      <c r="I49" s="364"/>
      <c r="J49" s="364"/>
      <c r="K49" s="364"/>
      <c r="L49" s="364"/>
      <c r="M49" s="364"/>
      <c r="N49" s="365"/>
    </row>
    <row r="50" spans="2:21" ht="10" customHeight="1" thickTop="1" thickBot="1" x14ac:dyDescent="0.25">
      <c r="B50" s="188"/>
      <c r="C50" s="188"/>
      <c r="D50" s="188"/>
      <c r="E50" s="188"/>
      <c r="F50" s="188"/>
      <c r="G50" s="188"/>
      <c r="H50" s="188"/>
      <c r="I50" s="188"/>
      <c r="J50" s="188"/>
      <c r="K50" s="188"/>
      <c r="L50" s="188"/>
      <c r="M50" s="188"/>
      <c r="N50" s="188"/>
    </row>
    <row r="51" spans="2:21" ht="25" thickTop="1" x14ac:dyDescent="0.2">
      <c r="B51" s="399" t="s">
        <v>3015</v>
      </c>
      <c r="C51" s="400"/>
      <c r="D51" s="400"/>
      <c r="E51" s="400"/>
      <c r="F51" s="400"/>
      <c r="G51" s="400"/>
      <c r="H51" s="400"/>
      <c r="I51" s="400"/>
      <c r="J51" s="400"/>
      <c r="K51" s="400"/>
      <c r="L51" s="400"/>
      <c r="M51" s="400"/>
      <c r="N51" s="401"/>
      <c r="S51"/>
      <c r="T51"/>
      <c r="U51"/>
    </row>
    <row r="52" spans="2:21" ht="20" customHeight="1" x14ac:dyDescent="0.2">
      <c r="B52" s="201" t="s">
        <v>3010</v>
      </c>
      <c r="C52" s="366" t="s">
        <v>3048</v>
      </c>
      <c r="D52" s="366"/>
      <c r="E52" s="366"/>
      <c r="F52" s="366"/>
      <c r="G52" s="366"/>
      <c r="H52" s="366"/>
      <c r="I52" s="366"/>
      <c r="J52" s="366"/>
      <c r="K52" s="366"/>
      <c r="L52" s="366"/>
      <c r="M52" s="366"/>
      <c r="N52" s="367"/>
      <c r="S52"/>
      <c r="T52"/>
      <c r="U52"/>
    </row>
    <row r="53" spans="2:21" ht="20" customHeight="1" x14ac:dyDescent="0.2">
      <c r="B53" s="201" t="s">
        <v>3010</v>
      </c>
      <c r="C53" s="366" t="s">
        <v>3049</v>
      </c>
      <c r="D53" s="366"/>
      <c r="E53" s="366"/>
      <c r="F53" s="366"/>
      <c r="G53" s="366"/>
      <c r="H53" s="366"/>
      <c r="I53" s="366"/>
      <c r="J53" s="366"/>
      <c r="K53" s="366"/>
      <c r="L53" s="366"/>
      <c r="M53" s="366"/>
      <c r="N53" s="367"/>
      <c r="S53"/>
      <c r="T53"/>
      <c r="U53"/>
    </row>
    <row r="54" spans="2:21" ht="20" customHeight="1" x14ac:dyDescent="0.2">
      <c r="B54" s="201" t="s">
        <v>3010</v>
      </c>
      <c r="C54" s="366" t="s">
        <v>3215</v>
      </c>
      <c r="D54" s="366"/>
      <c r="E54" s="366"/>
      <c r="F54" s="366"/>
      <c r="G54" s="366"/>
      <c r="H54" s="366"/>
      <c r="I54" s="366"/>
      <c r="J54" s="366"/>
      <c r="K54" s="366"/>
      <c r="L54" s="366"/>
      <c r="M54" s="366"/>
      <c r="N54" s="367"/>
      <c r="S54"/>
      <c r="T54"/>
      <c r="U54"/>
    </row>
    <row r="55" spans="2:21" ht="10" customHeight="1" x14ac:dyDescent="0.2">
      <c r="B55" s="201"/>
      <c r="C55" s="300"/>
      <c r="D55" s="300"/>
      <c r="E55" s="300"/>
      <c r="F55" s="300"/>
      <c r="G55" s="300"/>
      <c r="H55" s="300"/>
      <c r="I55" s="300"/>
      <c r="J55" s="300"/>
      <c r="K55" s="300"/>
      <c r="L55" s="254"/>
      <c r="M55" s="300"/>
      <c r="N55" s="289"/>
      <c r="S55"/>
      <c r="T55"/>
      <c r="U55"/>
    </row>
    <row r="56" spans="2:21" ht="22" customHeight="1" x14ac:dyDescent="0.2">
      <c r="B56" s="195"/>
      <c r="C56" s="301"/>
      <c r="D56" s="301"/>
      <c r="E56" s="302"/>
      <c r="F56" s="303" t="s">
        <v>3031</v>
      </c>
      <c r="G56" s="302"/>
      <c r="H56" s="427" t="s">
        <v>3037</v>
      </c>
      <c r="I56" s="427"/>
      <c r="J56" s="427"/>
      <c r="K56" s="427"/>
      <c r="L56" s="427"/>
      <c r="M56" s="427"/>
      <c r="N56" s="428"/>
      <c r="S56"/>
      <c r="T56"/>
      <c r="U56"/>
    </row>
    <row r="57" spans="2:21" ht="21" customHeight="1" x14ac:dyDescent="0.2">
      <c r="B57" s="197"/>
      <c r="C57" s="429" t="s">
        <v>3034</v>
      </c>
      <c r="D57" s="429"/>
      <c r="E57" s="429"/>
      <c r="F57" s="429" t="s">
        <v>3212</v>
      </c>
      <c r="G57" s="429"/>
      <c r="H57" s="427"/>
      <c r="I57" s="427"/>
      <c r="J57" s="427"/>
      <c r="K57" s="427"/>
      <c r="L57" s="427"/>
      <c r="M57" s="427"/>
      <c r="N57" s="428"/>
      <c r="S57"/>
      <c r="T57"/>
      <c r="U57"/>
    </row>
    <row r="58" spans="2:21" ht="21" customHeight="1" x14ac:dyDescent="0.2">
      <c r="B58" s="197"/>
      <c r="C58" s="403" t="s">
        <v>3035</v>
      </c>
      <c r="D58" s="403"/>
      <c r="E58" s="403"/>
      <c r="F58" s="403" t="s">
        <v>3212</v>
      </c>
      <c r="G58" s="403"/>
      <c r="H58" s="427"/>
      <c r="I58" s="427"/>
      <c r="J58" s="427"/>
      <c r="K58" s="427"/>
      <c r="L58" s="427"/>
      <c r="M58" s="427"/>
      <c r="N58" s="428"/>
      <c r="S58"/>
      <c r="T58"/>
      <c r="U58"/>
    </row>
    <row r="59" spans="2:21" ht="10" customHeight="1" x14ac:dyDescent="0.25">
      <c r="B59" s="197"/>
      <c r="C59" s="304"/>
      <c r="D59" s="304"/>
      <c r="E59" s="304"/>
      <c r="F59" s="304"/>
      <c r="G59" s="304"/>
      <c r="H59" s="301"/>
      <c r="I59" s="301"/>
      <c r="J59" s="305"/>
      <c r="K59" s="305"/>
      <c r="L59" s="254"/>
      <c r="M59" s="305"/>
      <c r="N59" s="198"/>
      <c r="S59"/>
      <c r="T59"/>
      <c r="U59"/>
    </row>
    <row r="60" spans="2:21" ht="19" customHeight="1" x14ac:dyDescent="0.2">
      <c r="B60" s="197" t="s">
        <v>3010</v>
      </c>
      <c r="C60" s="366" t="s">
        <v>3216</v>
      </c>
      <c r="D60" s="366"/>
      <c r="E60" s="366"/>
      <c r="F60" s="366"/>
      <c r="G60" s="366"/>
      <c r="H60" s="366"/>
      <c r="I60" s="366"/>
      <c r="J60" s="366"/>
      <c r="K60" s="366"/>
      <c r="L60" s="366"/>
      <c r="M60" s="366"/>
      <c r="N60" s="367"/>
      <c r="S60"/>
      <c r="T60"/>
      <c r="U60"/>
    </row>
    <row r="61" spans="2:21" ht="19" customHeight="1" x14ac:dyDescent="0.2">
      <c r="B61" s="197"/>
      <c r="C61" s="366"/>
      <c r="D61" s="366"/>
      <c r="E61" s="366"/>
      <c r="F61" s="366"/>
      <c r="G61" s="366"/>
      <c r="H61" s="366"/>
      <c r="I61" s="366"/>
      <c r="J61" s="366"/>
      <c r="K61" s="366"/>
      <c r="L61" s="366"/>
      <c r="M61" s="366"/>
      <c r="N61" s="367"/>
      <c r="S61"/>
      <c r="T61"/>
      <c r="U61"/>
    </row>
    <row r="62" spans="2:21" ht="10" customHeight="1" x14ac:dyDescent="0.2">
      <c r="B62" s="195"/>
      <c r="C62" s="301"/>
      <c r="D62" s="301"/>
      <c r="E62" s="302"/>
      <c r="F62" s="302"/>
      <c r="G62" s="302"/>
      <c r="H62" s="302"/>
      <c r="I62" s="302"/>
      <c r="J62" s="302"/>
      <c r="K62" s="302"/>
      <c r="L62" s="254"/>
      <c r="M62" s="302"/>
      <c r="N62" s="196"/>
      <c r="S62"/>
      <c r="T62"/>
      <c r="U62"/>
    </row>
    <row r="63" spans="2:21" ht="20" customHeight="1" thickBot="1" x14ac:dyDescent="0.25">
      <c r="B63" s="404" t="s">
        <v>3047</v>
      </c>
      <c r="C63" s="405"/>
      <c r="D63" s="405"/>
      <c r="E63" s="405"/>
      <c r="F63" s="405"/>
      <c r="G63" s="405"/>
      <c r="H63" s="405"/>
      <c r="I63" s="405"/>
      <c r="J63" s="405"/>
      <c r="K63" s="405"/>
      <c r="L63" s="405"/>
      <c r="M63" s="405"/>
      <c r="N63" s="406"/>
      <c r="S63"/>
      <c r="T63"/>
      <c r="U63"/>
    </row>
    <row r="64" spans="2:21" ht="10" customHeight="1" thickTop="1" thickBot="1" x14ac:dyDescent="0.25">
      <c r="B64" s="188"/>
      <c r="C64" s="188"/>
      <c r="D64" s="188"/>
      <c r="E64" s="188"/>
      <c r="F64" s="188"/>
      <c r="G64" s="188"/>
      <c r="H64" s="188"/>
      <c r="I64" s="188"/>
      <c r="J64" s="188"/>
      <c r="K64" s="188"/>
      <c r="L64"/>
      <c r="M64" s="188"/>
      <c r="N64" s="188"/>
      <c r="S64"/>
      <c r="T64"/>
      <c r="U64"/>
    </row>
    <row r="65" spans="2:18" ht="25" thickTop="1" x14ac:dyDescent="0.2">
      <c r="B65" s="391" t="s">
        <v>3014</v>
      </c>
      <c r="C65" s="392"/>
      <c r="D65" s="392"/>
      <c r="E65" s="392"/>
      <c r="F65" s="392"/>
      <c r="G65" s="392"/>
      <c r="H65" s="392"/>
      <c r="I65" s="392"/>
      <c r="J65" s="392"/>
      <c r="K65" s="392"/>
      <c r="L65" s="392"/>
      <c r="M65" s="392"/>
      <c r="N65" s="393"/>
    </row>
    <row r="66" spans="2:18" ht="19" customHeight="1" x14ac:dyDescent="0.2">
      <c r="B66" s="306" t="s">
        <v>3010</v>
      </c>
      <c r="C66" s="370" t="s">
        <v>3217</v>
      </c>
      <c r="D66" s="370"/>
      <c r="E66" s="370"/>
      <c r="F66" s="370"/>
      <c r="G66" s="370"/>
      <c r="H66" s="370"/>
      <c r="I66" s="370"/>
      <c r="J66" s="370"/>
      <c r="K66" s="370"/>
      <c r="L66" s="370"/>
      <c r="M66" s="370"/>
      <c r="N66" s="371"/>
    </row>
    <row r="67" spans="2:18" ht="10" customHeight="1" x14ac:dyDescent="0.2">
      <c r="B67" s="307"/>
      <c r="C67" s="203"/>
      <c r="D67" s="203"/>
      <c r="E67" s="308"/>
      <c r="F67" s="308"/>
      <c r="G67" s="308"/>
      <c r="H67" s="308"/>
      <c r="I67" s="308"/>
      <c r="J67" s="308"/>
      <c r="K67" s="308"/>
      <c r="L67" s="309"/>
      <c r="M67" s="308"/>
      <c r="N67" s="310"/>
    </row>
    <row r="68" spans="2:18" ht="22" customHeight="1" x14ac:dyDescent="0.2">
      <c r="B68" s="307"/>
      <c r="C68" s="203"/>
      <c r="D68" s="203"/>
      <c r="E68" s="308"/>
      <c r="F68" s="308"/>
      <c r="G68" s="419" t="s">
        <v>3032</v>
      </c>
      <c r="H68" s="419"/>
      <c r="I68" s="420" t="s">
        <v>3031</v>
      </c>
      <c r="J68" s="420"/>
      <c r="K68" s="423" t="s">
        <v>3030</v>
      </c>
      <c r="L68" s="423"/>
      <c r="M68" s="423"/>
      <c r="N68" s="311"/>
    </row>
    <row r="69" spans="2:18" ht="21" customHeight="1" x14ac:dyDescent="0.2">
      <c r="B69" s="202"/>
      <c r="C69" s="421" t="s">
        <v>3034</v>
      </c>
      <c r="D69" s="421"/>
      <c r="E69" s="421"/>
      <c r="F69" s="324"/>
      <c r="G69" s="324"/>
      <c r="H69" s="325" t="s">
        <v>3196</v>
      </c>
      <c r="I69" s="421" t="s">
        <v>3149</v>
      </c>
      <c r="J69" s="421"/>
      <c r="K69" s="334" t="s">
        <v>3197</v>
      </c>
      <c r="L69" s="334"/>
      <c r="M69" s="319"/>
      <c r="N69" s="312"/>
    </row>
    <row r="70" spans="2:18" ht="22" customHeight="1" x14ac:dyDescent="0.2">
      <c r="B70" s="202"/>
      <c r="C70" s="368" t="s">
        <v>3033</v>
      </c>
      <c r="D70" s="368"/>
      <c r="E70" s="368"/>
      <c r="F70" s="368"/>
      <c r="G70" s="326" t="s">
        <v>3038</v>
      </c>
      <c r="H70" s="327" t="s">
        <v>3196</v>
      </c>
      <c r="I70" s="422" t="s">
        <v>3150</v>
      </c>
      <c r="J70" s="422"/>
      <c r="K70" s="335" t="s">
        <v>3198</v>
      </c>
      <c r="L70" s="335"/>
      <c r="M70" s="320"/>
      <c r="N70" s="313"/>
    </row>
    <row r="71" spans="2:18" ht="10" customHeight="1" x14ac:dyDescent="0.2">
      <c r="B71" s="314"/>
      <c r="C71" s="315"/>
      <c r="D71" s="315"/>
      <c r="E71" s="309"/>
      <c r="F71" s="309"/>
      <c r="G71" s="309"/>
      <c r="H71" s="309"/>
      <c r="I71" s="309"/>
      <c r="J71" s="309"/>
      <c r="K71" s="309"/>
      <c r="L71" s="309"/>
      <c r="M71" s="309"/>
      <c r="N71" s="316"/>
    </row>
    <row r="72" spans="2:18" ht="19" customHeight="1" x14ac:dyDescent="0.2">
      <c r="B72" s="116" t="s">
        <v>3010</v>
      </c>
      <c r="C72" s="374" t="s">
        <v>3199</v>
      </c>
      <c r="D72" s="374"/>
      <c r="E72" s="374"/>
      <c r="F72" s="374"/>
      <c r="G72" s="374"/>
      <c r="H72" s="374"/>
      <c r="I72" s="374"/>
      <c r="J72" s="374"/>
      <c r="K72" s="374"/>
      <c r="L72" s="374"/>
      <c r="M72" s="374"/>
      <c r="N72" s="375"/>
    </row>
    <row r="73" spans="2:18" ht="10" customHeight="1" x14ac:dyDescent="0.2">
      <c r="B73" s="314"/>
      <c r="C73" s="315"/>
      <c r="D73" s="315"/>
      <c r="E73" s="309"/>
      <c r="F73" s="309"/>
      <c r="G73" s="309"/>
      <c r="H73" s="309"/>
      <c r="I73" s="309"/>
      <c r="J73" s="309"/>
      <c r="K73" s="309"/>
      <c r="L73" s="317"/>
      <c r="M73" s="309"/>
      <c r="N73" s="316"/>
    </row>
    <row r="74" spans="2:18" ht="22" customHeight="1" x14ac:dyDescent="0.2">
      <c r="B74" s="86"/>
      <c r="C74" s="369" t="s">
        <v>3036</v>
      </c>
      <c r="D74" s="369"/>
      <c r="E74" s="369"/>
      <c r="F74" s="369"/>
      <c r="G74" s="322"/>
      <c r="H74" s="323" t="s">
        <v>3200</v>
      </c>
      <c r="I74" s="369" t="s">
        <v>3151</v>
      </c>
      <c r="J74" s="369"/>
      <c r="K74" s="336" t="s">
        <v>3011</v>
      </c>
      <c r="L74" s="336"/>
      <c r="M74" s="321"/>
      <c r="N74" s="318"/>
    </row>
    <row r="75" spans="2:18" ht="10" customHeight="1" x14ac:dyDescent="0.2">
      <c r="B75" s="314"/>
      <c r="C75" s="315"/>
      <c r="D75" s="315"/>
      <c r="E75" s="309"/>
      <c r="F75" s="309"/>
      <c r="G75" s="309"/>
      <c r="H75" s="309"/>
      <c r="I75" s="309"/>
      <c r="J75" s="309"/>
      <c r="K75" s="309"/>
      <c r="L75" s="309"/>
      <c r="M75" s="309"/>
      <c r="N75" s="316"/>
    </row>
    <row r="76" spans="2:18" ht="20" customHeight="1" thickBot="1" x14ac:dyDescent="0.25">
      <c r="B76" s="338" t="s">
        <v>3046</v>
      </c>
      <c r="C76" s="339"/>
      <c r="D76" s="339"/>
      <c r="E76" s="339"/>
      <c r="F76" s="339"/>
      <c r="G76" s="339"/>
      <c r="H76" s="339"/>
      <c r="I76" s="339"/>
      <c r="J76" s="339"/>
      <c r="K76" s="339"/>
      <c r="L76" s="339"/>
      <c r="M76" s="339"/>
      <c r="N76" s="340"/>
    </row>
    <row r="77" spans="2:18" ht="10" customHeight="1" thickTop="1" thickBot="1" x14ac:dyDescent="0.25">
      <c r="B77" s="188"/>
      <c r="C77" s="188"/>
      <c r="D77" s="188"/>
      <c r="E77" s="188"/>
      <c r="F77" s="188"/>
      <c r="G77" s="188"/>
      <c r="H77" s="188"/>
      <c r="I77" s="188"/>
      <c r="J77" s="188"/>
      <c r="K77" s="188"/>
      <c r="M77" s="188"/>
      <c r="N77" s="188"/>
    </row>
    <row r="78" spans="2:18" ht="25" thickTop="1" x14ac:dyDescent="0.2">
      <c r="B78" s="399" t="s">
        <v>3204</v>
      </c>
      <c r="C78" s="400"/>
      <c r="D78" s="400"/>
      <c r="E78" s="400"/>
      <c r="F78" s="400"/>
      <c r="G78" s="400"/>
      <c r="H78" s="400"/>
      <c r="I78" s="400"/>
      <c r="J78" s="400"/>
      <c r="K78" s="400"/>
      <c r="L78" s="400"/>
      <c r="M78" s="400"/>
      <c r="N78" s="401"/>
      <c r="O78" s="210"/>
      <c r="P78" s="210"/>
      <c r="Q78" s="210"/>
      <c r="R78" s="223"/>
    </row>
    <row r="79" spans="2:18" ht="19" customHeight="1" x14ac:dyDescent="0.2">
      <c r="B79" s="186" t="s">
        <v>3010</v>
      </c>
      <c r="C79" s="415" t="s">
        <v>3201</v>
      </c>
      <c r="D79" s="415"/>
      <c r="E79" s="415"/>
      <c r="F79" s="415"/>
      <c r="G79" s="415"/>
      <c r="H79" s="415"/>
      <c r="I79" s="415"/>
      <c r="J79" s="415"/>
      <c r="K79" s="415"/>
      <c r="L79" s="415"/>
      <c r="M79" s="415"/>
      <c r="N79" s="416"/>
      <c r="O79" s="210"/>
      <c r="P79" s="210"/>
      <c r="Q79" s="210"/>
      <c r="R79" s="223"/>
    </row>
    <row r="80" spans="2:18" ht="19" customHeight="1" x14ac:dyDescent="0.2">
      <c r="B80" s="186" t="s">
        <v>3010</v>
      </c>
      <c r="C80" s="415" t="s">
        <v>3202</v>
      </c>
      <c r="D80" s="415"/>
      <c r="E80" s="415"/>
      <c r="F80" s="415"/>
      <c r="G80" s="415"/>
      <c r="H80" s="415"/>
      <c r="I80" s="415"/>
      <c r="J80" s="415"/>
      <c r="K80" s="415"/>
      <c r="L80" s="415"/>
      <c r="M80" s="415"/>
      <c r="N80" s="416"/>
      <c r="O80" s="210"/>
      <c r="P80" s="210"/>
      <c r="Q80" s="210"/>
      <c r="R80" s="223"/>
    </row>
    <row r="81" spans="2:19" ht="10" customHeight="1" x14ac:dyDescent="0.2">
      <c r="B81" s="424"/>
      <c r="C81" s="425"/>
      <c r="D81" s="425"/>
      <c r="E81" s="425"/>
      <c r="F81" s="425"/>
      <c r="G81" s="425"/>
      <c r="H81" s="425"/>
      <c r="I81" s="425"/>
      <c r="J81" s="425"/>
      <c r="K81" s="425"/>
      <c r="L81" s="425"/>
      <c r="M81" s="425"/>
      <c r="N81" s="426"/>
      <c r="O81" s="178"/>
      <c r="P81" s="178"/>
      <c r="Q81" s="178"/>
    </row>
    <row r="82" spans="2:19" ht="20" customHeight="1" thickBot="1" x14ac:dyDescent="0.25">
      <c r="B82" s="404" t="s">
        <v>3203</v>
      </c>
      <c r="C82" s="405"/>
      <c r="D82" s="405"/>
      <c r="E82" s="405"/>
      <c r="F82" s="405"/>
      <c r="G82" s="405"/>
      <c r="H82" s="405"/>
      <c r="I82" s="405"/>
      <c r="J82" s="405"/>
      <c r="K82" s="405"/>
      <c r="L82" s="405"/>
      <c r="M82" s="405"/>
      <c r="N82" s="406"/>
      <c r="O82" s="178"/>
      <c r="P82" s="178"/>
      <c r="Q82" s="178"/>
    </row>
    <row r="83" spans="2:19" ht="10" customHeight="1" thickTop="1" thickBot="1" x14ac:dyDescent="0.25">
      <c r="B83" s="188"/>
      <c r="C83" s="188"/>
      <c r="D83" s="188"/>
      <c r="E83" s="188"/>
      <c r="F83" s="188"/>
      <c r="G83" s="188"/>
      <c r="H83" s="188"/>
      <c r="I83" s="188"/>
      <c r="J83" s="188"/>
      <c r="K83" s="188"/>
      <c r="L83" s="188"/>
      <c r="M83" s="188"/>
      <c r="N83" s="210"/>
      <c r="O83" s="210"/>
      <c r="P83" s="210"/>
      <c r="Q83" s="210"/>
      <c r="R83" s="83"/>
    </row>
    <row r="84" spans="2:19" ht="25" thickTop="1" x14ac:dyDescent="0.2">
      <c r="B84" s="391" t="s">
        <v>3205</v>
      </c>
      <c r="C84" s="392"/>
      <c r="D84" s="392"/>
      <c r="E84" s="392"/>
      <c r="F84" s="392"/>
      <c r="G84" s="392"/>
      <c r="H84" s="392"/>
      <c r="I84" s="392"/>
      <c r="J84" s="392"/>
      <c r="K84" s="392"/>
      <c r="L84" s="392"/>
      <c r="M84" s="392"/>
      <c r="N84" s="393"/>
    </row>
    <row r="85" spans="2:19" ht="19" customHeight="1" x14ac:dyDescent="0.2">
      <c r="B85" s="183" t="s">
        <v>3010</v>
      </c>
      <c r="C85" s="341" t="s">
        <v>3218</v>
      </c>
      <c r="D85" s="341"/>
      <c r="E85" s="341"/>
      <c r="F85" s="341"/>
      <c r="G85" s="341"/>
      <c r="H85" s="341"/>
      <c r="I85" s="341"/>
      <c r="J85" s="341"/>
      <c r="K85" s="341"/>
      <c r="L85" s="341"/>
      <c r="M85" s="341"/>
      <c r="N85" s="376"/>
    </row>
    <row r="86" spans="2:19" ht="19" customHeight="1" x14ac:dyDescent="0.2">
      <c r="B86" s="183"/>
      <c r="C86" s="377" t="s">
        <v>3206</v>
      </c>
      <c r="D86" s="377"/>
      <c r="E86" s="377"/>
      <c r="F86" s="377"/>
      <c r="G86" s="377"/>
      <c r="H86" s="377"/>
      <c r="I86" s="377"/>
      <c r="J86" s="377"/>
      <c r="K86" s="377"/>
      <c r="L86" s="377"/>
      <c r="M86" s="377"/>
      <c r="N86" s="378"/>
    </row>
    <row r="87" spans="2:19" ht="10" customHeight="1" x14ac:dyDescent="0.2">
      <c r="B87" s="183"/>
      <c r="C87" s="184"/>
      <c r="D87" s="293"/>
      <c r="E87" s="293"/>
      <c r="F87" s="293"/>
      <c r="G87" s="293"/>
      <c r="H87" s="293"/>
      <c r="I87" s="293"/>
      <c r="J87" s="293"/>
      <c r="K87" s="293"/>
      <c r="L87" s="293"/>
      <c r="M87" s="293"/>
      <c r="N87" s="185"/>
      <c r="O87" s="210"/>
      <c r="P87" s="178"/>
      <c r="Q87" s="178"/>
      <c r="R87" s="178"/>
      <c r="S87" s="299"/>
    </row>
    <row r="88" spans="2:19" ht="20" customHeight="1" thickBot="1" x14ac:dyDescent="0.25">
      <c r="B88" s="331" t="s">
        <v>3207</v>
      </c>
      <c r="C88" s="332"/>
      <c r="D88" s="332"/>
      <c r="E88" s="332"/>
      <c r="F88" s="332"/>
      <c r="G88" s="332"/>
      <c r="H88" s="332"/>
      <c r="I88" s="332"/>
      <c r="J88" s="332"/>
      <c r="K88" s="332"/>
      <c r="L88" s="332"/>
      <c r="M88" s="332"/>
      <c r="N88" s="333"/>
      <c r="O88" s="178"/>
      <c r="P88" s="178"/>
      <c r="Q88" s="178"/>
      <c r="R88" s="178"/>
    </row>
    <row r="89" spans="2:19" ht="10" customHeight="1" thickTop="1" thickBot="1" x14ac:dyDescent="0.3">
      <c r="B89" s="294"/>
      <c r="C89" s="294"/>
      <c r="D89" s="294"/>
      <c r="E89" s="294"/>
      <c r="F89" s="294"/>
      <c r="G89" s="294"/>
      <c r="H89" s="294"/>
      <c r="I89" s="294"/>
      <c r="J89" s="294"/>
      <c r="K89" s="78"/>
      <c r="L89" s="294"/>
      <c r="N89" s="294"/>
      <c r="O89" s="210"/>
      <c r="P89" s="210"/>
      <c r="Q89" s="210"/>
      <c r="R89" s="210"/>
    </row>
    <row r="90" spans="2:19" ht="25" thickTop="1" x14ac:dyDescent="0.2">
      <c r="B90" s="399" t="s">
        <v>3211</v>
      </c>
      <c r="C90" s="400"/>
      <c r="D90" s="400"/>
      <c r="E90" s="400"/>
      <c r="F90" s="400"/>
      <c r="G90" s="400"/>
      <c r="H90" s="400"/>
      <c r="I90" s="400"/>
      <c r="J90" s="400"/>
      <c r="K90" s="400"/>
      <c r="L90" s="400"/>
      <c r="M90" s="400"/>
      <c r="N90" s="401"/>
      <c r="O90" s="178"/>
      <c r="P90" s="178"/>
      <c r="Q90" s="178"/>
      <c r="R90" s="83"/>
    </row>
    <row r="91" spans="2:19" ht="19" customHeight="1" x14ac:dyDescent="0.2">
      <c r="B91" s="186" t="s">
        <v>3010</v>
      </c>
      <c r="C91" s="415" t="s">
        <v>3208</v>
      </c>
      <c r="D91" s="415"/>
      <c r="E91" s="415"/>
      <c r="F91" s="415"/>
      <c r="G91" s="415"/>
      <c r="H91" s="415"/>
      <c r="I91" s="415"/>
      <c r="J91" s="415"/>
      <c r="K91" s="415"/>
      <c r="L91" s="415"/>
      <c r="M91" s="415"/>
      <c r="N91" s="416"/>
      <c r="O91" s="178"/>
      <c r="P91" s="178"/>
      <c r="Q91" s="178"/>
      <c r="R91" s="178"/>
    </row>
    <row r="92" spans="2:19" ht="19" customHeight="1" x14ac:dyDescent="0.2">
      <c r="B92" s="186" t="s">
        <v>3010</v>
      </c>
      <c r="C92" s="415" t="s">
        <v>3209</v>
      </c>
      <c r="D92" s="415"/>
      <c r="E92" s="415"/>
      <c r="F92" s="415"/>
      <c r="G92" s="415"/>
      <c r="H92" s="415"/>
      <c r="I92" s="415"/>
      <c r="J92" s="415"/>
      <c r="K92" s="415"/>
      <c r="L92" s="415"/>
      <c r="M92" s="415"/>
      <c r="N92" s="416"/>
      <c r="O92" s="178"/>
      <c r="P92" s="178"/>
      <c r="Q92" s="178"/>
      <c r="R92" s="178"/>
    </row>
    <row r="93" spans="2:19" ht="20" customHeight="1" thickBot="1" x14ac:dyDescent="0.25">
      <c r="B93" s="187" t="s">
        <v>3010</v>
      </c>
      <c r="C93" s="417" t="s">
        <v>3210</v>
      </c>
      <c r="D93" s="417"/>
      <c r="E93" s="417"/>
      <c r="F93" s="417"/>
      <c r="G93" s="417"/>
      <c r="H93" s="417"/>
      <c r="I93" s="417"/>
      <c r="J93" s="417"/>
      <c r="K93" s="417"/>
      <c r="L93" s="417"/>
      <c r="M93" s="417"/>
      <c r="N93" s="418"/>
      <c r="O93" s="178"/>
      <c r="P93" s="178"/>
      <c r="Q93" s="178"/>
      <c r="R93" s="178"/>
    </row>
    <row r="94" spans="2:19" ht="26" customHeight="1" thickTop="1" x14ac:dyDescent="0.25">
      <c r="B94" s="337" t="s">
        <v>55</v>
      </c>
      <c r="C94" s="337"/>
      <c r="D94" s="337"/>
      <c r="E94" s="337"/>
      <c r="F94" s="337"/>
      <c r="G94" s="337"/>
      <c r="H94" s="337"/>
      <c r="I94" s="337"/>
      <c r="J94" s="277"/>
      <c r="K94" s="200"/>
      <c r="L94"/>
      <c r="M94" s="200"/>
      <c r="N94" s="200"/>
    </row>
    <row r="95" spans="2:19" ht="19" customHeight="1" x14ac:dyDescent="0.2">
      <c r="B95" s="199">
        <v>1</v>
      </c>
      <c r="C95" s="361" t="s">
        <v>3130</v>
      </c>
      <c r="D95" s="361"/>
      <c r="E95" s="361"/>
      <c r="F95" s="361"/>
      <c r="G95" s="361"/>
      <c r="H95" s="361"/>
      <c r="I95" s="361"/>
      <c r="J95" s="361"/>
      <c r="K95" s="361"/>
      <c r="L95" s="361"/>
      <c r="M95" s="361"/>
      <c r="N95" s="361"/>
    </row>
    <row r="96" spans="2:19" x14ac:dyDescent="0.2">
      <c r="B96" s="199"/>
      <c r="C96" s="361"/>
      <c r="D96" s="361"/>
      <c r="E96" s="361"/>
      <c r="F96" s="361"/>
      <c r="G96" s="361"/>
      <c r="H96" s="361"/>
      <c r="I96" s="361"/>
      <c r="J96" s="361"/>
      <c r="K96" s="361"/>
      <c r="L96" s="361"/>
      <c r="M96" s="361"/>
      <c r="N96" s="361"/>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L2144"/>
      <c r="M2144"/>
      <c r="N2144" s="80"/>
    </row>
    <row r="2145" spans="4:14" ht="16" x14ac:dyDescent="0.2">
      <c r="D2145"/>
      <c r="E2145"/>
      <c r="F2145"/>
      <c r="G2145"/>
      <c r="H2145"/>
      <c r="I2145"/>
      <c r="J2145"/>
      <c r="K2145"/>
      <c r="L2145"/>
      <c r="M2145"/>
      <c r="N2145" s="80"/>
    </row>
    <row r="2146" spans="4:14" ht="16" x14ac:dyDescent="0.2">
      <c r="D2146"/>
      <c r="E2146"/>
      <c r="F2146"/>
      <c r="G2146"/>
      <c r="H2146"/>
      <c r="I2146"/>
      <c r="J2146"/>
      <c r="K2146"/>
      <c r="L2146"/>
      <c r="M2146"/>
      <c r="N2146" s="80"/>
    </row>
    <row r="2147" spans="4:14" ht="16" x14ac:dyDescent="0.2">
      <c r="D2147"/>
      <c r="E2147"/>
      <c r="F2147"/>
      <c r="G2147"/>
      <c r="H2147"/>
      <c r="I2147"/>
      <c r="J2147"/>
      <c r="K2147"/>
      <c r="L2147"/>
      <c r="M2147"/>
      <c r="N2147" s="80"/>
    </row>
    <row r="2148" spans="4:14" ht="16" x14ac:dyDescent="0.2">
      <c r="D2148"/>
      <c r="E2148"/>
      <c r="F2148"/>
      <c r="G2148"/>
      <c r="H2148"/>
      <c r="I2148"/>
      <c r="J2148"/>
      <c r="K2148"/>
      <c r="L2148"/>
      <c r="M2148"/>
      <c r="N2148" s="80"/>
    </row>
    <row r="2149" spans="4:14" ht="16" x14ac:dyDescent="0.2">
      <c r="D2149"/>
      <c r="E2149"/>
      <c r="F2149"/>
      <c r="G2149"/>
      <c r="H2149"/>
      <c r="I2149"/>
      <c r="J2149"/>
      <c r="K2149"/>
      <c r="L2149"/>
      <c r="M2149"/>
      <c r="N2149" s="80"/>
    </row>
    <row r="2150" spans="4:14" ht="16" x14ac:dyDescent="0.2">
      <c r="D2150"/>
      <c r="E2150"/>
      <c r="F2150"/>
      <c r="G2150"/>
      <c r="H2150"/>
      <c r="I2150"/>
      <c r="J2150"/>
      <c r="K2150"/>
      <c r="L2150"/>
      <c r="M2150"/>
      <c r="N2150" s="80"/>
    </row>
    <row r="2151" spans="4:14" ht="16" x14ac:dyDescent="0.2">
      <c r="D2151"/>
      <c r="E2151"/>
      <c r="F2151"/>
      <c r="G2151"/>
      <c r="H2151"/>
      <c r="I2151"/>
      <c r="J2151"/>
      <c r="K2151"/>
      <c r="L2151"/>
      <c r="M2151"/>
      <c r="N2151" s="80"/>
    </row>
    <row r="2152" spans="4:14" ht="16" x14ac:dyDescent="0.2">
      <c r="D2152"/>
      <c r="E2152"/>
      <c r="F2152"/>
      <c r="G2152"/>
      <c r="H2152"/>
      <c r="I2152"/>
      <c r="J2152"/>
      <c r="K2152"/>
      <c r="L2152"/>
      <c r="M2152"/>
      <c r="N2152" s="80"/>
    </row>
    <row r="2153" spans="4:14" ht="16" x14ac:dyDescent="0.2">
      <c r="D2153"/>
      <c r="E2153"/>
      <c r="F2153"/>
      <c r="G2153"/>
      <c r="H2153"/>
      <c r="I2153"/>
      <c r="J2153"/>
      <c r="K2153"/>
      <c r="L2153"/>
      <c r="M2153"/>
      <c r="N2153" s="80"/>
    </row>
    <row r="2154" spans="4:14" ht="16" x14ac:dyDescent="0.2">
      <c r="D2154"/>
      <c r="E2154"/>
      <c r="F2154"/>
      <c r="G2154"/>
      <c r="H2154"/>
      <c r="I2154"/>
      <c r="J2154"/>
      <c r="K2154"/>
      <c r="L2154"/>
      <c r="M2154"/>
      <c r="N2154" s="80"/>
    </row>
    <row r="2155" spans="4:14" ht="16" x14ac:dyDescent="0.2">
      <c r="D2155"/>
      <c r="E2155"/>
      <c r="F2155"/>
      <c r="G2155"/>
      <c r="H2155"/>
      <c r="I2155"/>
      <c r="J2155"/>
      <c r="K2155"/>
      <c r="L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row r="2298" spans="4:14" ht="16" x14ac:dyDescent="0.2">
      <c r="D2298"/>
      <c r="E2298"/>
      <c r="F2298"/>
      <c r="G2298"/>
      <c r="H2298"/>
      <c r="I2298"/>
      <c r="J2298"/>
      <c r="K2298"/>
      <c r="M2298"/>
      <c r="N2298" s="80"/>
    </row>
    <row r="2299" spans="4:14" ht="16" x14ac:dyDescent="0.2">
      <c r="D2299"/>
      <c r="E2299"/>
      <c r="F2299"/>
      <c r="G2299"/>
      <c r="H2299"/>
      <c r="I2299"/>
      <c r="J2299"/>
      <c r="K2299"/>
      <c r="M2299"/>
      <c r="N2299" s="80"/>
    </row>
    <row r="2300" spans="4:14" ht="16" x14ac:dyDescent="0.2">
      <c r="D2300"/>
      <c r="E2300"/>
      <c r="F2300"/>
      <c r="G2300"/>
      <c r="H2300"/>
      <c r="I2300"/>
      <c r="J2300"/>
      <c r="K2300"/>
      <c r="M2300"/>
      <c r="N2300" s="80"/>
    </row>
    <row r="2301" spans="4:14" ht="16" x14ac:dyDescent="0.2">
      <c r="D2301"/>
      <c r="E2301"/>
      <c r="F2301"/>
      <c r="G2301"/>
      <c r="H2301"/>
      <c r="I2301"/>
      <c r="J2301"/>
      <c r="K2301"/>
      <c r="M2301"/>
      <c r="N2301" s="80"/>
    </row>
    <row r="2302" spans="4:14" ht="16" x14ac:dyDescent="0.2">
      <c r="D2302"/>
      <c r="E2302"/>
      <c r="F2302"/>
      <c r="G2302"/>
      <c r="H2302"/>
      <c r="I2302"/>
      <c r="J2302"/>
      <c r="K2302"/>
      <c r="M2302"/>
      <c r="N2302" s="80"/>
    </row>
    <row r="2303" spans="4:14" ht="16" x14ac:dyDescent="0.2">
      <c r="D2303"/>
      <c r="E2303"/>
      <c r="F2303"/>
      <c r="G2303"/>
      <c r="H2303"/>
      <c r="I2303"/>
      <c r="J2303"/>
      <c r="K2303"/>
      <c r="M2303"/>
      <c r="N2303" s="80"/>
    </row>
    <row r="2304" spans="4:14" ht="16" x14ac:dyDescent="0.2">
      <c r="D2304"/>
      <c r="E2304"/>
      <c r="F2304"/>
      <c r="G2304"/>
      <c r="H2304"/>
      <c r="I2304"/>
      <c r="J2304"/>
      <c r="K2304"/>
      <c r="M2304"/>
      <c r="N2304" s="80"/>
    </row>
    <row r="2305" spans="4:14" ht="16" x14ac:dyDescent="0.2">
      <c r="D2305"/>
      <c r="E2305"/>
      <c r="F2305"/>
      <c r="G2305"/>
      <c r="H2305"/>
      <c r="I2305"/>
      <c r="J2305"/>
      <c r="K2305"/>
      <c r="M2305"/>
      <c r="N2305" s="80"/>
    </row>
    <row r="2306" spans="4:14" ht="16" x14ac:dyDescent="0.2">
      <c r="D2306"/>
      <c r="E2306"/>
      <c r="F2306"/>
      <c r="G2306"/>
      <c r="H2306"/>
      <c r="I2306"/>
      <c r="J2306"/>
      <c r="K2306"/>
      <c r="M2306"/>
      <c r="N2306" s="80"/>
    </row>
    <row r="2307" spans="4:14" ht="16" x14ac:dyDescent="0.2">
      <c r="D2307"/>
      <c r="E2307"/>
      <c r="F2307"/>
      <c r="G2307"/>
      <c r="H2307"/>
      <c r="I2307"/>
      <c r="J2307"/>
      <c r="K2307"/>
      <c r="M2307"/>
      <c r="N2307" s="80"/>
    </row>
    <row r="2308" spans="4:14" ht="16" x14ac:dyDescent="0.2">
      <c r="D2308"/>
      <c r="E2308"/>
      <c r="F2308"/>
      <c r="G2308"/>
      <c r="H2308"/>
      <c r="I2308"/>
      <c r="J2308"/>
      <c r="K2308"/>
      <c r="M2308"/>
      <c r="N2308" s="80"/>
    </row>
    <row r="2309" spans="4:14" ht="16" x14ac:dyDescent="0.2">
      <c r="D2309"/>
      <c r="E2309"/>
      <c r="F2309"/>
      <c r="G2309"/>
      <c r="H2309"/>
      <c r="I2309"/>
      <c r="J2309"/>
      <c r="K2309"/>
      <c r="M2309"/>
      <c r="N2309" s="80"/>
    </row>
  </sheetData>
  <sheetProtection algorithmName="SHA-512" hashValue="Ew1TgUbfJIgQ3YdCimZza3vjcKHFX+ynI55yU+gzciYwaDtRDh86G1zj/iqaOUoJhrgsGG6m+e2/vyIJthI/eg==" saltValue="OHexdAh0futCSSwoxvKKVg==" spinCount="100000" sheet="1" formatRows="0" insertColumns="0" selectLockedCells="1"/>
  <mergeCells count="132">
    <mergeCell ref="O5:R7"/>
    <mergeCell ref="B8:I8"/>
    <mergeCell ref="O8:R8"/>
    <mergeCell ref="B90:N90"/>
    <mergeCell ref="C91:N91"/>
    <mergeCell ref="C92:N92"/>
    <mergeCell ref="C93:N93"/>
    <mergeCell ref="G68:H68"/>
    <mergeCell ref="I68:J68"/>
    <mergeCell ref="I69:J69"/>
    <mergeCell ref="I70:J70"/>
    <mergeCell ref="I74:J74"/>
    <mergeCell ref="K68:M68"/>
    <mergeCell ref="B78:N78"/>
    <mergeCell ref="C79:N79"/>
    <mergeCell ref="C80:N80"/>
    <mergeCell ref="B82:N82"/>
    <mergeCell ref="B81:N81"/>
    <mergeCell ref="C69:E69"/>
    <mergeCell ref="C54:N54"/>
    <mergeCell ref="H56:N58"/>
    <mergeCell ref="C57:E57"/>
    <mergeCell ref="F57:G57"/>
    <mergeCell ref="C58:E58"/>
    <mergeCell ref="F58:G58"/>
    <mergeCell ref="B63:N63"/>
    <mergeCell ref="C60:N61"/>
    <mergeCell ref="B41:N41"/>
    <mergeCell ref="C47:I47"/>
    <mergeCell ref="K44:N47"/>
    <mergeCell ref="B43:N43"/>
    <mergeCell ref="B51:N51"/>
    <mergeCell ref="C52:N52"/>
    <mergeCell ref="C53:N53"/>
    <mergeCell ref="B65:N65"/>
    <mergeCell ref="B84:N84"/>
    <mergeCell ref="B7:N7"/>
    <mergeCell ref="E26:J26"/>
    <mergeCell ref="B27:C27"/>
    <mergeCell ref="B29:C29"/>
    <mergeCell ref="B30:C30"/>
    <mergeCell ref="B31:C31"/>
    <mergeCell ref="B32:C32"/>
    <mergeCell ref="B23:I23"/>
    <mergeCell ref="E22:H22"/>
    <mergeCell ref="B36:C36"/>
    <mergeCell ref="K26:N26"/>
    <mergeCell ref="C46:I46"/>
    <mergeCell ref="B39:N39"/>
    <mergeCell ref="B17:C17"/>
    <mergeCell ref="B18:C18"/>
    <mergeCell ref="I28:N28"/>
    <mergeCell ref="I29:N29"/>
    <mergeCell ref="I30:N30"/>
    <mergeCell ref="I31:N31"/>
    <mergeCell ref="I32:N32"/>
    <mergeCell ref="I33:N33"/>
    <mergeCell ref="I34:N34"/>
    <mergeCell ref="O26:R26"/>
    <mergeCell ref="O27:R34"/>
    <mergeCell ref="E37:N37"/>
    <mergeCell ref="E27:H27"/>
    <mergeCell ref="E29:H29"/>
    <mergeCell ref="E30:H30"/>
    <mergeCell ref="E31:H31"/>
    <mergeCell ref="E32:H32"/>
    <mergeCell ref="B33:C33"/>
    <mergeCell ref="B34:C34"/>
    <mergeCell ref="I35:N35"/>
    <mergeCell ref="I36:N36"/>
    <mergeCell ref="S15:T15"/>
    <mergeCell ref="S12:T14"/>
    <mergeCell ref="E18:H18"/>
    <mergeCell ref="Q9:R9"/>
    <mergeCell ref="O9:P9"/>
    <mergeCell ref="Q21:R21"/>
    <mergeCell ref="O21:P21"/>
    <mergeCell ref="Q15:R15"/>
    <mergeCell ref="O15:P15"/>
    <mergeCell ref="K15:N15"/>
    <mergeCell ref="I17:J17"/>
    <mergeCell ref="I16:J16"/>
    <mergeCell ref="E17:H17"/>
    <mergeCell ref="E15:I15"/>
    <mergeCell ref="G6:I6"/>
    <mergeCell ref="J6:N6"/>
    <mergeCell ref="B35:C35"/>
    <mergeCell ref="E33:H33"/>
    <mergeCell ref="E34:H34"/>
    <mergeCell ref="E35:H35"/>
    <mergeCell ref="E36:H36"/>
    <mergeCell ref="I27:N27"/>
    <mergeCell ref="C95:N96"/>
    <mergeCell ref="I11:K11"/>
    <mergeCell ref="E28:H28"/>
    <mergeCell ref="B49:N49"/>
    <mergeCell ref="B19:C19"/>
    <mergeCell ref="E19:H19"/>
    <mergeCell ref="C40:N40"/>
    <mergeCell ref="C70:F70"/>
    <mergeCell ref="C74:F74"/>
    <mergeCell ref="C66:N66"/>
    <mergeCell ref="B28:C28"/>
    <mergeCell ref="B20:C20"/>
    <mergeCell ref="E20:H20"/>
    <mergeCell ref="C72:N72"/>
    <mergeCell ref="C85:N85"/>
    <mergeCell ref="C86:N86"/>
    <mergeCell ref="B88:N88"/>
    <mergeCell ref="K69:L69"/>
    <mergeCell ref="K70:L70"/>
    <mergeCell ref="K74:L74"/>
    <mergeCell ref="B94:I94"/>
    <mergeCell ref="B76:N76"/>
    <mergeCell ref="C44:I44"/>
    <mergeCell ref="C45:I45"/>
    <mergeCell ref="J1:M1"/>
    <mergeCell ref="B9:N9"/>
    <mergeCell ref="B10:I10"/>
    <mergeCell ref="B13:H13"/>
    <mergeCell ref="B14:I14"/>
    <mergeCell ref="B24:I24"/>
    <mergeCell ref="K24:M24"/>
    <mergeCell ref="B16:C16"/>
    <mergeCell ref="B22:C22"/>
    <mergeCell ref="B6:E6"/>
    <mergeCell ref="B11:H11"/>
    <mergeCell ref="B12:H12"/>
    <mergeCell ref="E21:I21"/>
    <mergeCell ref="B15:C15"/>
    <mergeCell ref="E16:H16"/>
    <mergeCell ref="I12:K12"/>
  </mergeCells>
  <phoneticPr fontId="6" type="noConversion"/>
  <conditionalFormatting sqref="K17">
    <cfRule type="cellIs" dxfId="148" priority="69" operator="lessThan">
      <formula>0</formula>
    </cfRule>
  </conditionalFormatting>
  <conditionalFormatting sqref="T20:T22 T16:T18">
    <cfRule type="cellIs" dxfId="147" priority="68" operator="equal">
      <formula>0</formula>
    </cfRule>
  </conditionalFormatting>
  <conditionalFormatting sqref="M18">
    <cfRule type="cellIs" dxfId="146" priority="54" operator="equal">
      <formula>0</formula>
    </cfRule>
  </conditionalFormatting>
  <conditionalFormatting sqref="M16">
    <cfRule type="cellIs" dxfId="145" priority="55" operator="equal">
      <formula>0</formula>
    </cfRule>
  </conditionalFormatting>
  <conditionalFormatting sqref="M20">
    <cfRule type="cellIs" dxfId="144" priority="52" operator="equal">
      <formula>0</formula>
    </cfRule>
  </conditionalFormatting>
  <conditionalFormatting sqref="N16">
    <cfRule type="expression" dxfId="143" priority="51">
      <formula>M16=0</formula>
    </cfRule>
  </conditionalFormatting>
  <conditionalFormatting sqref="N18">
    <cfRule type="expression" dxfId="142" priority="48">
      <formula>M18=0</formula>
    </cfRule>
  </conditionalFormatting>
  <conditionalFormatting sqref="N20">
    <cfRule type="expression" dxfId="141" priority="46">
      <formula>M20=0</formula>
    </cfRule>
  </conditionalFormatting>
  <conditionalFormatting sqref="M22">
    <cfRule type="cellIs" dxfId="140" priority="45" operator="equal">
      <formula>0</formula>
    </cfRule>
  </conditionalFormatting>
  <conditionalFormatting sqref="N22">
    <cfRule type="expression" dxfId="139" priority="39">
      <formula>M22=0</formula>
    </cfRule>
  </conditionalFormatting>
  <conditionalFormatting sqref="Q17 Q22">
    <cfRule type="expression" dxfId="138" priority="28">
      <formula>M17=0</formula>
    </cfRule>
  </conditionalFormatting>
  <conditionalFormatting sqref="Q16">
    <cfRule type="expression" dxfId="137" priority="27">
      <formula>M16=0</formula>
    </cfRule>
  </conditionalFormatting>
  <conditionalFormatting sqref="Q18">
    <cfRule type="expression" dxfId="136" priority="26">
      <formula>M18=0</formula>
    </cfRule>
  </conditionalFormatting>
  <conditionalFormatting sqref="Q20">
    <cfRule type="expression" dxfId="135" priority="24">
      <formula>M20=0</formula>
    </cfRule>
  </conditionalFormatting>
  <conditionalFormatting sqref="R17 R22">
    <cfRule type="expression" dxfId="134" priority="22">
      <formula>M17=0</formula>
    </cfRule>
  </conditionalFormatting>
  <conditionalFormatting sqref="R16">
    <cfRule type="expression" dxfId="133" priority="21">
      <formula>M16=0</formula>
    </cfRule>
  </conditionalFormatting>
  <conditionalFormatting sqref="R18">
    <cfRule type="expression" dxfId="132" priority="20">
      <formula>M18=0</formula>
    </cfRule>
  </conditionalFormatting>
  <conditionalFormatting sqref="R20">
    <cfRule type="expression" dxfId="131" priority="18">
      <formula>M20=0</formula>
    </cfRule>
  </conditionalFormatting>
  <conditionalFormatting sqref="N17">
    <cfRule type="expression" dxfId="130" priority="14">
      <formula>M17&lt;0</formula>
    </cfRule>
  </conditionalFormatting>
  <conditionalFormatting sqref="M17">
    <cfRule type="cellIs" dxfId="129" priority="15" operator="lessThan">
      <formula>0</formula>
    </cfRule>
  </conditionalFormatting>
  <conditionalFormatting sqref="L17">
    <cfRule type="cellIs" dxfId="128" priority="13" operator="lessThan">
      <formula>0</formula>
    </cfRule>
  </conditionalFormatting>
  <conditionalFormatting sqref="T19">
    <cfRule type="cellIs" dxfId="127" priority="7" operator="equal">
      <formula>0</formula>
    </cfRule>
  </conditionalFormatting>
  <conditionalFormatting sqref="N19">
    <cfRule type="expression" dxfId="126" priority="5">
      <formula>M19=0</formula>
    </cfRule>
  </conditionalFormatting>
  <conditionalFormatting sqref="Q19">
    <cfRule type="expression" dxfId="125" priority="4">
      <formula>M19=0</formula>
    </cfRule>
  </conditionalFormatting>
  <conditionalFormatting sqref="R19">
    <cfRule type="expression" dxfId="124" priority="3">
      <formula>M19=0</formula>
    </cfRule>
  </conditionalFormatting>
  <conditionalFormatting sqref="M19">
    <cfRule type="cellIs" dxfId="123" priority="1" operator="equal">
      <formula>0</formula>
    </cfRule>
  </conditionalFormatting>
  <dataValidations count="3">
    <dataValidation type="list" allowBlank="1" showDropDown="1" showInputMessage="1" showErrorMessage="1" sqref="B38 E27:E37" xr:uid="{071C908B-9CEC-4240-AA40-7F8A81760BBD}">
      <formula1>Namen</formula1>
    </dataValidation>
    <dataValidation type="list" allowBlank="1" showInputMessage="1" showErrorMessage="1" sqref="B27:B36 C29:C36 C27" xr:uid="{5D93C749-56A8-C943-9F7C-440478E9F19E}">
      <formula1>Nummern</formula1>
    </dataValidation>
    <dataValidation allowBlank="1" showInputMessage="1" sqref="I27:I36 J28:K36" xr:uid="{E1CD7375-4391-AB48-9B98-67682D7765D6}"/>
  </dataValidations>
  <hyperlinks>
    <hyperlink ref="B49:N49" location="'Brine-Calculator'!K8" display="Click here to get to our Brine Calculator, where you can enter the desired brine quantity you want to produce." xr:uid="{0204888E-933A-9F41-97F6-1C6007225F93}"/>
    <hyperlink ref="D37" r:id="rId1" xr:uid="{9A76095C-3218-CA44-B134-D52C9ED1176F}"/>
    <hyperlink ref="B8" r:id="rId2" xr:uid="{715A659E-8BED-E449-8566-462B5557AED7}"/>
  </hyperlinks>
  <pageMargins left="0.7" right="0.7" top="0.78740157499999996" bottom="0.78740157499999996" header="0.3" footer="0.3"/>
  <pageSetup paperSize="9" scale="67"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7"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Functions!$X$9:$X$11</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 K22</xm:sqref>
        </x14:dataValidation>
        <x14:dataValidation type="list" allowBlank="1" showInputMessage="1" xr:uid="{8C9A2EA2-C8F6-914F-9929-863E87193DA4}">
          <x14:formula1>
            <xm:f>Functions!$V$3:$V$8</xm:f>
          </x14:formula1>
          <xm:sqref>I22 I18:I20</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B23" sqref="B23:M23"/>
    </sheetView>
  </sheetViews>
  <sheetFormatPr baseColWidth="10" defaultColWidth="10.83203125" defaultRowHeight="19" x14ac:dyDescent="0.25"/>
  <cols>
    <col min="2" max="2" width="4.1640625" style="85"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42"/>
      <c r="K1" s="342"/>
      <c r="L1" s="342"/>
      <c r="M1" s="69"/>
      <c r="P1" t="s">
        <v>178</v>
      </c>
    </row>
    <row r="2" spans="2:20" ht="24" x14ac:dyDescent="0.2">
      <c r="J2" s="180"/>
      <c r="K2" s="180"/>
      <c r="L2" s="180"/>
      <c r="M2" s="69"/>
    </row>
    <row r="3" spans="2:20" ht="24" x14ac:dyDescent="0.2">
      <c r="J3" s="180"/>
      <c r="K3" s="180"/>
      <c r="L3" s="180"/>
      <c r="M3" s="69"/>
    </row>
    <row r="4" spans="2:20" ht="24" x14ac:dyDescent="0.3">
      <c r="J4" s="180"/>
      <c r="K4" s="180"/>
      <c r="L4" s="180"/>
      <c r="M4" s="69"/>
      <c r="N4" s="235"/>
      <c r="O4" s="235"/>
      <c r="P4" s="235"/>
      <c r="Q4" s="235"/>
    </row>
    <row r="5" spans="2:20" ht="37" x14ac:dyDescent="0.45">
      <c r="B5" s="434" t="s">
        <v>3155</v>
      </c>
      <c r="C5" s="434"/>
      <c r="D5" s="434"/>
      <c r="E5" s="434"/>
      <c r="F5" s="434"/>
      <c r="G5" s="434"/>
      <c r="H5" s="434"/>
      <c r="I5" s="434"/>
      <c r="J5" s="434"/>
      <c r="K5" s="434"/>
      <c r="L5" s="434"/>
      <c r="M5" s="434"/>
      <c r="N5" s="409"/>
      <c r="O5" s="409"/>
      <c r="P5" s="409"/>
      <c r="Q5" s="409"/>
      <c r="R5" s="7"/>
    </row>
    <row r="6" spans="2:20" s="7" customFormat="1" ht="25" customHeight="1" thickBot="1" x14ac:dyDescent="0.35">
      <c r="B6" s="343" t="s">
        <v>3127</v>
      </c>
      <c r="C6" s="343"/>
      <c r="D6" s="343"/>
      <c r="E6" s="343"/>
      <c r="F6" s="343"/>
      <c r="G6" s="343"/>
      <c r="H6" s="343"/>
      <c r="I6" s="343"/>
      <c r="J6" s="343"/>
      <c r="K6" s="431"/>
      <c r="L6" s="431"/>
      <c r="M6" s="343"/>
      <c r="N6" s="409" t="s">
        <v>3120</v>
      </c>
      <c r="O6" s="409"/>
      <c r="P6" s="409"/>
      <c r="Q6" s="409"/>
    </row>
    <row r="7" spans="2:20" s="70" customFormat="1" ht="25" customHeight="1" x14ac:dyDescent="0.25">
      <c r="B7" s="344" t="s">
        <v>3154</v>
      </c>
      <c r="C7" s="344"/>
      <c r="D7" s="344"/>
      <c r="E7" s="344"/>
      <c r="F7" s="344"/>
      <c r="G7" s="344"/>
      <c r="H7" s="344"/>
      <c r="I7" s="344"/>
      <c r="J7" s="344"/>
      <c r="K7" s="430">
        <v>100</v>
      </c>
      <c r="L7" s="430"/>
      <c r="M7" s="175" t="s">
        <v>0</v>
      </c>
      <c r="N7" s="433" t="s">
        <v>3135</v>
      </c>
      <c r="O7" s="433"/>
      <c r="P7" s="433"/>
      <c r="Q7" s="433"/>
      <c r="R7" s="7"/>
      <c r="S7" s="7"/>
      <c r="T7" s="7"/>
    </row>
    <row r="8" spans="2:20" s="7" customFormat="1" ht="21" customHeight="1" x14ac:dyDescent="0.25">
      <c r="B8" s="435" t="str">
        <f>"Water / Flaked Ice"</f>
        <v>Water / Flaked Ice</v>
      </c>
      <c r="C8" s="435"/>
      <c r="D8" s="435"/>
      <c r="E8" s="435"/>
      <c r="F8" s="435"/>
      <c r="G8" s="435"/>
      <c r="H8" s="435"/>
      <c r="I8" s="435"/>
      <c r="J8" s="435"/>
      <c r="K8" s="237">
        <f>Water2/(Meat2*YieldIncrease)</f>
        <v>0.91500000000000004</v>
      </c>
      <c r="L8" s="238">
        <f>K8*BrineAmount</f>
        <v>91.5</v>
      </c>
      <c r="M8" s="239" t="str">
        <f>IF(L8&lt;&gt;"","kg","")</f>
        <v>kg</v>
      </c>
      <c r="N8" s="240">
        <v>0.01</v>
      </c>
      <c r="O8" s="241" t="str">
        <f t="shared" ref="O8" si="0">IF(N8&lt;&gt;"","EUR","")</f>
        <v>EUR</v>
      </c>
      <c r="P8" s="242">
        <f t="shared" ref="P8" si="1">IF(N8&lt;&gt;"",ROUND(N8*L8,2),"")</f>
        <v>0.92</v>
      </c>
      <c r="Q8" s="243" t="str">
        <f t="shared" ref="Q8" si="2">IF(P8&lt;&gt;"","EUR","")</f>
        <v>EUR</v>
      </c>
      <c r="R8" s="248"/>
    </row>
    <row r="9" spans="2:20" s="77" customFormat="1" ht="25" customHeight="1" x14ac:dyDescent="0.25">
      <c r="B9" s="355" t="s">
        <v>34</v>
      </c>
      <c r="C9" s="355"/>
      <c r="D9" s="96" t="s">
        <v>43</v>
      </c>
      <c r="E9" s="387" t="s">
        <v>3156</v>
      </c>
      <c r="F9" s="432"/>
      <c r="G9" s="432"/>
      <c r="H9" s="432"/>
      <c r="I9" s="432"/>
      <c r="J9" s="432"/>
      <c r="K9" s="233" t="s">
        <v>86</v>
      </c>
      <c r="L9" s="233"/>
      <c r="M9" s="233"/>
      <c r="N9" s="384" t="s">
        <v>3144</v>
      </c>
      <c r="O9" s="384"/>
      <c r="P9" s="384" t="s">
        <v>3039</v>
      </c>
      <c r="Q9" s="384"/>
      <c r="R9"/>
      <c r="S9" s="7"/>
    </row>
    <row r="10" spans="2:20" ht="21" customHeight="1" x14ac:dyDescent="0.2">
      <c r="B10" s="349">
        <f>IF(ISNUMBER(Artikelnummer1),Artikelnummer1,"")</f>
        <v>11016</v>
      </c>
      <c r="C10" s="349"/>
      <c r="D10" s="97" t="str">
        <f>IF(ISNA(VLOOKUP(B10,AllData,2,0)),"",HYPERLINK(VLOOKUP(B10,AllData,7,0),"📌"))</f>
        <v>📌</v>
      </c>
      <c r="E10" s="356" t="str">
        <f t="shared" ref="E10:E14" si="3">IF(ISNUMBER(B10),IF(ISNA(VLOOKUP(B10,AllData,2)),"",VLOOKUP(B10,AllData,2)),"")</f>
        <v>AGAGEL® 400</v>
      </c>
      <c r="F10" s="356"/>
      <c r="G10" s="356"/>
      <c r="H10" s="356"/>
      <c r="I10" s="246"/>
      <c r="J10" s="98"/>
      <c r="K10" s="99">
        <f t="shared" ref="K10:K14" si="4">IF(L10&lt;&gt;"",L10/BrineAmount,"")</f>
        <v>7.4999999999999997E-2</v>
      </c>
      <c r="L10" s="100">
        <f t="shared" ref="L10:L14" si="5">IF(R10&lt;&gt;"",R10*BrineAmount,"")</f>
        <v>7.5</v>
      </c>
      <c r="M10" s="101" t="str">
        <f t="shared" ref="M10:M12" si="6">IF(L10&lt;&gt;"","kg","")</f>
        <v>kg</v>
      </c>
      <c r="N10" s="212">
        <f t="shared" ref="N10:N14" si="7">IF(L10&lt;&gt;"",IF(ISNA(VLOOKUP(B10,AllData,2,0)),"",VLOOKUP(B10,AllData,4,0)),"")</f>
        <v>9.4</v>
      </c>
      <c r="O10" s="9" t="str">
        <f t="shared" ref="O10:O14" si="8">IF(N10&lt;&gt;"","EUR","")</f>
        <v>EUR</v>
      </c>
      <c r="P10" s="10">
        <f t="shared" ref="P10:P14" si="9">IF(N10&lt;&gt;"",ROUND(N10*L10,2),"")</f>
        <v>70.5</v>
      </c>
      <c r="Q10" s="11" t="str">
        <f t="shared" ref="Q10:Q14" si="10">IF(P10&lt;&gt;"","EUR","")</f>
        <v>EUR</v>
      </c>
      <c r="R10" s="252">
        <f>IF(E10&lt;&gt;"",Menge1/(Meat2*YieldIncrease),"")</f>
        <v>7.4999999999999997E-2</v>
      </c>
      <c r="S10" s="247"/>
      <c r="T10" s="234"/>
    </row>
    <row r="11" spans="2:20" ht="21" customHeight="1" x14ac:dyDescent="0.2">
      <c r="B11" s="349" t="str">
        <f>IF(ISNUMBER(Artikelnummer2),Artikelnummer2,"")</f>
        <v/>
      </c>
      <c r="C11" s="349"/>
      <c r="D11" s="97" t="str">
        <f t="shared" ref="D11:D13" si="11">IF(ISNA(VLOOKUP(B11,AllData,2,0)),"",HYPERLINK(VLOOKUP(B11,AllData,7,0),"📌"))</f>
        <v/>
      </c>
      <c r="E11" s="356" t="s">
        <v>9</v>
      </c>
      <c r="F11" s="356"/>
      <c r="G11" s="356"/>
      <c r="H11" s="356"/>
      <c r="I11" s="246"/>
      <c r="J11" s="98"/>
      <c r="K11" s="99">
        <f t="shared" si="4"/>
        <v>0.01</v>
      </c>
      <c r="L11" s="100">
        <f t="shared" si="5"/>
        <v>1</v>
      </c>
      <c r="M11" s="101" t="str">
        <f t="shared" si="6"/>
        <v>kg</v>
      </c>
      <c r="N11" s="240">
        <v>0.01</v>
      </c>
      <c r="O11" s="9" t="str">
        <f t="shared" si="8"/>
        <v>EUR</v>
      </c>
      <c r="P11" s="10">
        <f t="shared" si="9"/>
        <v>0.01</v>
      </c>
      <c r="Q11" s="11" t="str">
        <f t="shared" si="10"/>
        <v>EUR</v>
      </c>
      <c r="R11" s="252">
        <f>IF(E11&lt;&gt;"",Menge2/(Meat2*YieldIncrease),"")</f>
        <v>0.01</v>
      </c>
      <c r="S11" s="247"/>
      <c r="T11" s="234"/>
    </row>
    <row r="12" spans="2:20" ht="21" x14ac:dyDescent="0.2">
      <c r="B12" s="349">
        <f>IF(ISNUMBER(Artikelnummer4),Artikelnummer4,"")</f>
        <v>11069</v>
      </c>
      <c r="C12" s="349"/>
      <c r="D12" s="97" t="str">
        <f t="shared" si="11"/>
        <v>📌</v>
      </c>
      <c r="E12" s="356" t="str">
        <f t="shared" si="3"/>
        <v>FibreMaxx WF 90</v>
      </c>
      <c r="F12" s="356"/>
      <c r="G12" s="356"/>
      <c r="H12" s="356"/>
      <c r="I12" s="246"/>
      <c r="J12" s="121"/>
      <c r="K12" s="99">
        <f t="shared" si="4"/>
        <v>0</v>
      </c>
      <c r="L12" s="100">
        <f t="shared" si="5"/>
        <v>0</v>
      </c>
      <c r="M12" s="101" t="str">
        <f t="shared" si="6"/>
        <v>kg</v>
      </c>
      <c r="N12" s="212">
        <f t="shared" si="7"/>
        <v>3.05</v>
      </c>
      <c r="O12" s="9" t="str">
        <f t="shared" si="8"/>
        <v>EUR</v>
      </c>
      <c r="P12" s="10">
        <f t="shared" si="9"/>
        <v>0</v>
      </c>
      <c r="Q12" s="11" t="str">
        <f t="shared" si="10"/>
        <v>EUR</v>
      </c>
      <c r="R12" s="252">
        <f>IF(E12&lt;&gt;"",Menge4/(Meat2*YieldIncrease),"")</f>
        <v>0</v>
      </c>
      <c r="S12" s="247"/>
      <c r="T12" s="234"/>
    </row>
    <row r="13" spans="2:20" ht="21" x14ac:dyDescent="0.2">
      <c r="B13" s="349">
        <f>IF(ISNUMBER(Artikelnummer5),Artikelnummer5,"")</f>
        <v>51008</v>
      </c>
      <c r="C13" s="349"/>
      <c r="D13" s="97" t="str">
        <f t="shared" si="11"/>
        <v>📌</v>
      </c>
      <c r="E13" s="356" t="str">
        <f t="shared" si="3"/>
        <v>BouillonMaxx Chicken [MSG-free]</v>
      </c>
      <c r="F13" s="356"/>
      <c r="G13" s="356"/>
      <c r="H13" s="356"/>
      <c r="I13" s="246"/>
      <c r="J13" s="98"/>
      <c r="K13" s="99">
        <f t="shared" si="4"/>
        <v>0</v>
      </c>
      <c r="L13" s="100">
        <f t="shared" si="5"/>
        <v>0</v>
      </c>
      <c r="M13" s="101" t="str">
        <f t="shared" ref="M13:M14" si="12">IF(L13&lt;&gt;"","kg","")</f>
        <v>kg</v>
      </c>
      <c r="N13" s="212">
        <f t="shared" si="7"/>
        <v>8.9</v>
      </c>
      <c r="O13" s="9" t="str">
        <f t="shared" si="8"/>
        <v>EUR</v>
      </c>
      <c r="P13" s="10">
        <f t="shared" si="9"/>
        <v>0</v>
      </c>
      <c r="Q13" s="11" t="str">
        <f t="shared" si="10"/>
        <v>EUR</v>
      </c>
      <c r="R13" s="252">
        <f>IF(E13&lt;&gt;"",Menge5/(Meat2*YieldIncrease),"")</f>
        <v>0</v>
      </c>
      <c r="S13" s="247"/>
      <c r="T13" s="234"/>
    </row>
    <row r="14" spans="2:20" ht="21" x14ac:dyDescent="0.2">
      <c r="B14" s="349">
        <f>IF(ISNUMBER(Artikelnummer6),Artikelnummer6,"")</f>
        <v>11146</v>
      </c>
      <c r="C14" s="349"/>
      <c r="D14" s="97" t="str">
        <f t="shared" ref="D14" si="13">IF(ISNA(VLOOKUP(B14,AllData,2,0)),"",HYPERLINK(VLOOKUP(B14,AllData,7,0),"📌"))</f>
        <v>📌</v>
      </c>
      <c r="E14" s="373" t="str">
        <f t="shared" si="3"/>
        <v>RoMaxx MB liquid</v>
      </c>
      <c r="F14" s="373"/>
      <c r="G14" s="373"/>
      <c r="H14" s="373"/>
      <c r="I14" s="246"/>
      <c r="J14" s="98"/>
      <c r="K14" s="99">
        <f t="shared" si="4"/>
        <v>0</v>
      </c>
      <c r="L14" s="100">
        <f t="shared" si="5"/>
        <v>0</v>
      </c>
      <c r="M14" s="101" t="str">
        <f t="shared" si="12"/>
        <v>kg</v>
      </c>
      <c r="N14" s="212">
        <f t="shared" si="7"/>
        <v>9.9</v>
      </c>
      <c r="O14" s="9" t="str">
        <f t="shared" si="8"/>
        <v>EUR</v>
      </c>
      <c r="P14" s="10">
        <f t="shared" si="9"/>
        <v>0</v>
      </c>
      <c r="Q14" s="11" t="str">
        <f t="shared" si="10"/>
        <v>EUR</v>
      </c>
      <c r="R14" s="252">
        <f>IF(E14&lt;&gt;"",Menge6/(Meat2*YieldIncrease),"")</f>
        <v>0</v>
      </c>
      <c r="S14" s="247"/>
      <c r="T14" s="234"/>
    </row>
    <row r="15" spans="2:20" ht="22" thickBot="1" x14ac:dyDescent="0.25">
      <c r="B15" s="396" t="s">
        <v>35</v>
      </c>
      <c r="C15" s="396"/>
      <c r="D15" s="396"/>
      <c r="E15" s="396"/>
      <c r="F15" s="396"/>
      <c r="G15" s="396"/>
      <c r="H15" s="396"/>
      <c r="I15" s="396"/>
      <c r="J15" s="396"/>
      <c r="K15" s="107">
        <f>L15/MeatAndWater2</f>
        <v>0.58319039451114929</v>
      </c>
      <c r="L15" s="108">
        <f>SUM(L10:L14)</f>
        <v>8.5</v>
      </c>
      <c r="M15" s="109" t="s">
        <v>0</v>
      </c>
      <c r="N15" s="236" t="str">
        <f>"ø "&amp;ROUND(P15/L15,2)</f>
        <v>ø 8,3</v>
      </c>
      <c r="O15" s="110" t="s">
        <v>3128</v>
      </c>
      <c r="P15" s="111">
        <f>SUM(P10:P14)</f>
        <v>70.510000000000005</v>
      </c>
      <c r="Q15" s="112" t="s">
        <v>3128</v>
      </c>
      <c r="R15" s="249"/>
      <c r="S15" s="247"/>
      <c r="T15" s="234"/>
    </row>
    <row r="16" spans="2:20" ht="35" customHeight="1" thickBot="1" x14ac:dyDescent="0.25">
      <c r="B16" s="347" t="s">
        <v>3159</v>
      </c>
      <c r="C16" s="347"/>
      <c r="D16" s="347"/>
      <c r="E16" s="347"/>
      <c r="F16" s="347"/>
      <c r="G16" s="347"/>
      <c r="H16" s="347"/>
      <c r="I16" s="347"/>
      <c r="J16" s="347"/>
      <c r="K16" s="348">
        <f>SUM(L8,L15)</f>
        <v>100</v>
      </c>
      <c r="L16" s="348"/>
      <c r="M16" s="113" t="s">
        <v>0</v>
      </c>
      <c r="N16" s="211">
        <f>P16/K16</f>
        <v>0.70510000000000006</v>
      </c>
      <c r="O16" s="189" t="str">
        <f>"€ / kg"</f>
        <v>€ / kg</v>
      </c>
      <c r="P16" s="190">
        <f>SUM(P2,P15)</f>
        <v>70.510000000000005</v>
      </c>
      <c r="Q16" s="191" t="s">
        <v>3128</v>
      </c>
      <c r="S16" s="247"/>
      <c r="T16" s="234"/>
    </row>
    <row r="17" spans="2:20" ht="10" customHeight="1" thickBot="1" x14ac:dyDescent="0.25">
      <c r="B17"/>
      <c r="D17"/>
      <c r="E17"/>
      <c r="F17"/>
      <c r="G17"/>
      <c r="H17"/>
      <c r="I17"/>
      <c r="J17"/>
      <c r="K17"/>
      <c r="L17"/>
      <c r="M17" s="80"/>
      <c r="S17" s="247"/>
      <c r="T17" s="234"/>
    </row>
    <row r="18" spans="2:20" ht="25" customHeight="1" thickTop="1" x14ac:dyDescent="0.2">
      <c r="B18" s="441" t="s">
        <v>3161</v>
      </c>
      <c r="C18" s="442"/>
      <c r="D18" s="442"/>
      <c r="E18" s="442"/>
      <c r="F18" s="442"/>
      <c r="G18" s="442"/>
      <c r="H18" s="442"/>
      <c r="I18" s="442"/>
      <c r="J18" s="442"/>
      <c r="K18" s="439" t="s">
        <v>3147</v>
      </c>
      <c r="L18" s="439"/>
      <c r="M18" s="440"/>
      <c r="N18" s="388" t="s">
        <v>3143</v>
      </c>
      <c r="O18" s="388"/>
      <c r="P18" s="388"/>
      <c r="Q18" s="388"/>
    </row>
    <row r="19" spans="2:20" ht="20" customHeight="1" x14ac:dyDescent="0.2">
      <c r="B19" s="183" t="s">
        <v>3010</v>
      </c>
      <c r="C19" s="341" t="s">
        <v>3045</v>
      </c>
      <c r="D19" s="341"/>
      <c r="E19" s="341"/>
      <c r="F19" s="341"/>
      <c r="G19" s="341"/>
      <c r="H19" s="341"/>
      <c r="I19" s="341"/>
      <c r="J19" s="341"/>
      <c r="K19" s="407"/>
      <c r="L19" s="407"/>
      <c r="M19" s="408"/>
      <c r="N19" s="438" t="s">
        <v>3129</v>
      </c>
      <c r="O19" s="438"/>
      <c r="P19" s="438"/>
      <c r="Q19" s="438"/>
    </row>
    <row r="20" spans="2:20" ht="19" customHeight="1" x14ac:dyDescent="0.2">
      <c r="B20" s="183" t="s">
        <v>3010</v>
      </c>
      <c r="C20" s="341" t="s">
        <v>3009</v>
      </c>
      <c r="D20" s="341"/>
      <c r="E20" s="341"/>
      <c r="F20" s="341"/>
      <c r="G20" s="341"/>
      <c r="H20" s="341"/>
      <c r="I20" s="341"/>
      <c r="J20" s="341"/>
      <c r="K20" s="407"/>
      <c r="L20" s="407"/>
      <c r="M20" s="408"/>
      <c r="N20" s="438"/>
      <c r="O20" s="438"/>
      <c r="P20" s="438"/>
      <c r="Q20" s="438"/>
    </row>
    <row r="21" spans="2:20" ht="20" customHeight="1" x14ac:dyDescent="0.2">
      <c r="B21" s="183" t="s">
        <v>3010</v>
      </c>
      <c r="C21" s="341" t="s">
        <v>3157</v>
      </c>
      <c r="D21" s="341"/>
      <c r="E21" s="341"/>
      <c r="F21" s="341"/>
      <c r="G21" s="341"/>
      <c r="H21" s="341"/>
      <c r="I21" s="341"/>
      <c r="J21" s="341"/>
      <c r="K21" s="407"/>
      <c r="L21" s="407"/>
      <c r="M21" s="408"/>
      <c r="N21" s="438"/>
      <c r="O21" s="438"/>
      <c r="P21" s="438"/>
      <c r="Q21" s="438"/>
    </row>
    <row r="22" spans="2:20" ht="10" customHeight="1" x14ac:dyDescent="0.2">
      <c r="B22" s="183"/>
      <c r="C22" s="232"/>
      <c r="D22" s="232"/>
      <c r="E22" s="232"/>
      <c r="F22" s="232"/>
      <c r="G22" s="232"/>
      <c r="H22" s="232"/>
      <c r="I22" s="232"/>
      <c r="J22" s="232"/>
      <c r="K22" s="244"/>
      <c r="L22" s="244"/>
      <c r="M22" s="245"/>
      <c r="N22" s="438"/>
      <c r="O22" s="438"/>
      <c r="P22" s="438"/>
      <c r="Q22" s="438"/>
    </row>
    <row r="23" spans="2:20" ht="20" thickBot="1" x14ac:dyDescent="0.25">
      <c r="B23" s="363" t="s">
        <v>3158</v>
      </c>
      <c r="C23" s="436"/>
      <c r="D23" s="436"/>
      <c r="E23" s="436"/>
      <c r="F23" s="436"/>
      <c r="G23" s="436"/>
      <c r="H23" s="436"/>
      <c r="I23" s="436"/>
      <c r="J23" s="436"/>
      <c r="K23" s="436"/>
      <c r="L23" s="436"/>
      <c r="M23" s="437"/>
      <c r="N23" s="438"/>
      <c r="O23" s="438"/>
      <c r="P23" s="438"/>
      <c r="Q23" s="438"/>
    </row>
    <row r="24" spans="2:20" ht="17" thickTop="1" x14ac:dyDescent="0.2">
      <c r="D24"/>
      <c r="E24"/>
      <c r="F24"/>
      <c r="G24"/>
      <c r="H24"/>
      <c r="I24"/>
      <c r="J24"/>
      <c r="K24"/>
      <c r="L24"/>
      <c r="M24" s="80"/>
      <c r="N24" s="438"/>
      <c r="O24" s="438"/>
      <c r="P24" s="438"/>
      <c r="Q24" s="438"/>
    </row>
    <row r="25" spans="2:20" ht="16" x14ac:dyDescent="0.2">
      <c r="D25"/>
      <c r="E25"/>
      <c r="F25"/>
      <c r="G25"/>
      <c r="H25"/>
      <c r="I25"/>
      <c r="J25"/>
      <c r="K25"/>
      <c r="L25"/>
      <c r="M25" s="80"/>
      <c r="N25" s="438"/>
      <c r="O25" s="438"/>
      <c r="P25" s="438"/>
      <c r="Q25" s="438"/>
    </row>
    <row r="26" spans="2:20" ht="16" x14ac:dyDescent="0.2">
      <c r="D26"/>
      <c r="E26"/>
      <c r="F26"/>
      <c r="G26"/>
      <c r="H26"/>
      <c r="I26"/>
      <c r="J26"/>
      <c r="K26"/>
      <c r="L26"/>
      <c r="M26" s="80"/>
      <c r="N26" s="438"/>
      <c r="O26" s="438"/>
      <c r="P26" s="438"/>
      <c r="Q26" s="438"/>
    </row>
    <row r="27" spans="2:20" ht="16" x14ac:dyDescent="0.2">
      <c r="D27"/>
      <c r="E27"/>
      <c r="F27"/>
      <c r="G27"/>
      <c r="H27"/>
      <c r="I27"/>
      <c r="J27"/>
      <c r="K27"/>
      <c r="L27"/>
      <c r="M27" s="80"/>
      <c r="N27" s="438"/>
      <c r="O27" s="438"/>
      <c r="P27" s="438"/>
      <c r="Q27" s="438"/>
    </row>
    <row r="28" spans="2:20" ht="16" x14ac:dyDescent="0.2">
      <c r="D28"/>
      <c r="E28"/>
      <c r="F28"/>
      <c r="G28"/>
      <c r="H28"/>
      <c r="I28"/>
      <c r="J28"/>
      <c r="K28"/>
      <c r="L28"/>
      <c r="M28" s="80"/>
      <c r="N28" s="438"/>
      <c r="O28" s="438"/>
      <c r="P28" s="438"/>
      <c r="Q28" s="438"/>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4"/>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5"/>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C21:J21"/>
    <mergeCell ref="B23:M23"/>
    <mergeCell ref="N19:Q28"/>
    <mergeCell ref="B14:C14"/>
    <mergeCell ref="E14:H14"/>
    <mergeCell ref="K18:M21"/>
    <mergeCell ref="C19:J19"/>
    <mergeCell ref="C20:J20"/>
    <mergeCell ref="N18:Q18"/>
    <mergeCell ref="B15:J15"/>
    <mergeCell ref="B16:J16"/>
    <mergeCell ref="B18:J18"/>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J1:L1"/>
    <mergeCell ref="B9:C9"/>
    <mergeCell ref="B10:C10"/>
    <mergeCell ref="E10:H10"/>
    <mergeCell ref="K7:L7"/>
    <mergeCell ref="B6:M6"/>
    <mergeCell ref="B7:J7"/>
    <mergeCell ref="E9:J9"/>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6"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46"/>
      <c r="J1" s="446"/>
      <c r="K1" s="446"/>
      <c r="L1" s="446"/>
      <c r="M1" s="446"/>
      <c r="N1" s="446"/>
      <c r="O1" s="446"/>
      <c r="P1" s="171"/>
      <c r="Q1" s="172"/>
      <c r="R1" s="172"/>
      <c r="S1" s="172"/>
      <c r="T1" s="172"/>
      <c r="U1" s="172"/>
      <c r="V1" s="172"/>
      <c r="W1" s="173"/>
      <c r="X1" s="172"/>
      <c r="Y1" s="172"/>
      <c r="Z1" s="172"/>
      <c r="AA1" s="174"/>
      <c r="AB1" s="174"/>
      <c r="AC1" s="174"/>
      <c r="AD1" s="174"/>
      <c r="AE1" s="174"/>
      <c r="AF1" s="174"/>
      <c r="AG1" s="174"/>
      <c r="AH1" s="174"/>
      <c r="AI1" s="174"/>
      <c r="AJ1" s="174"/>
      <c r="AK1" s="174"/>
      <c r="AL1" s="443" t="s">
        <v>3098</v>
      </c>
      <c r="AM1" s="444"/>
      <c r="AN1" s="444"/>
      <c r="AO1" s="444"/>
      <c r="AP1" s="444"/>
      <c r="AQ1" s="444"/>
      <c r="AR1" s="444"/>
      <c r="AS1" s="444"/>
      <c r="AT1" s="444"/>
      <c r="AU1" s="444"/>
      <c r="AV1" s="444"/>
      <c r="AW1" s="444"/>
      <c r="AX1" s="444"/>
      <c r="AY1" s="444"/>
      <c r="AZ1" s="444"/>
      <c r="BA1" s="444"/>
      <c r="BB1" s="444"/>
      <c r="BC1" s="445"/>
      <c r="BD1" s="169"/>
      <c r="BE1" s="443" t="s">
        <v>3087</v>
      </c>
      <c r="BF1" s="444"/>
      <c r="BG1" s="444"/>
      <c r="BH1" s="444"/>
      <c r="BI1" s="444"/>
      <c r="BJ1" s="444"/>
      <c r="BK1" s="444"/>
      <c r="BL1" s="444"/>
      <c r="BM1" s="444"/>
      <c r="BN1" s="444"/>
      <c r="BO1" s="444"/>
      <c r="BP1" s="444"/>
      <c r="BQ1" s="445"/>
      <c r="BR1" s="168"/>
      <c r="BS1" s="443" t="s">
        <v>3080</v>
      </c>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row>
    <row r="2" spans="1:95" ht="48" customHeight="1" thickBot="1" x14ac:dyDescent="0.35">
      <c r="A2" s="30">
        <v>10003</v>
      </c>
      <c r="B2" s="51" t="s">
        <v>181</v>
      </c>
      <c r="C2" s="39"/>
      <c r="D2" s="27">
        <v>15.25</v>
      </c>
      <c r="E2" s="28">
        <v>1</v>
      </c>
      <c r="F2" s="29" t="s">
        <v>0</v>
      </c>
      <c r="G2" s="221" t="s">
        <v>1495</v>
      </c>
      <c r="H2" s="6"/>
      <c r="I2" s="3"/>
      <c r="J2" s="447" t="s">
        <v>63</v>
      </c>
      <c r="K2" s="447"/>
      <c r="L2" s="447"/>
      <c r="M2" s="447"/>
      <c r="N2" s="447"/>
      <c r="O2" s="447"/>
      <c r="P2" s="120"/>
      <c r="Q2" s="157" t="s">
        <v>65</v>
      </c>
      <c r="R2" s="157" t="s">
        <v>134</v>
      </c>
      <c r="S2" s="157" t="s">
        <v>84</v>
      </c>
      <c r="T2" s="157" t="s">
        <v>143</v>
      </c>
      <c r="U2" s="157" t="s">
        <v>133</v>
      </c>
      <c r="V2" s="157" t="s">
        <v>144</v>
      </c>
      <c r="W2" s="157" t="s">
        <v>3101</v>
      </c>
      <c r="X2" s="158" t="s">
        <v>3099</v>
      </c>
      <c r="Y2" s="82" t="s">
        <v>1462</v>
      </c>
      <c r="Z2" s="163" t="s">
        <v>3040</v>
      </c>
      <c r="AA2" s="157" t="s">
        <v>3043</v>
      </c>
      <c r="AB2" s="82" t="s">
        <v>164</v>
      </c>
      <c r="AC2" s="82"/>
      <c r="AD2" s="41" t="s">
        <v>1468</v>
      </c>
      <c r="AE2" s="41" t="s">
        <v>1479</v>
      </c>
      <c r="AF2" s="41" t="s">
        <v>1469</v>
      </c>
      <c r="AG2" s="41" t="s">
        <v>1465</v>
      </c>
      <c r="AH2" s="41" t="s">
        <v>1480</v>
      </c>
      <c r="AI2" s="41" t="s">
        <v>1470</v>
      </c>
      <c r="AJ2" s="41" t="s">
        <v>1471</v>
      </c>
      <c r="AK2" s="41"/>
      <c r="AL2" s="122" t="s">
        <v>3063</v>
      </c>
      <c r="AM2" s="123" t="s">
        <v>1485</v>
      </c>
      <c r="AN2" s="124" t="s">
        <v>1486</v>
      </c>
      <c r="AO2" s="125" t="s">
        <v>3053</v>
      </c>
      <c r="AP2" s="124" t="s">
        <v>3050</v>
      </c>
      <c r="AQ2" s="124" t="s">
        <v>3051</v>
      </c>
      <c r="AR2" s="124" t="s">
        <v>3052</v>
      </c>
      <c r="AS2" s="124" t="s">
        <v>3054</v>
      </c>
      <c r="AT2" s="124" t="s">
        <v>3055</v>
      </c>
      <c r="AU2" s="124" t="s">
        <v>3056</v>
      </c>
      <c r="AV2" s="124" t="s">
        <v>3081</v>
      </c>
      <c r="AW2" s="124" t="s">
        <v>3082</v>
      </c>
      <c r="AX2" s="124" t="s">
        <v>3083</v>
      </c>
      <c r="AY2" s="124" t="s">
        <v>3084</v>
      </c>
      <c r="AZ2" s="124" t="s">
        <v>3057</v>
      </c>
      <c r="BA2" s="124" t="s">
        <v>3058</v>
      </c>
      <c r="BB2" s="124" t="s">
        <v>3059</v>
      </c>
      <c r="BC2" s="124" t="s">
        <v>3060</v>
      </c>
      <c r="BD2" s="119"/>
      <c r="BE2" s="146" t="s">
        <v>3063</v>
      </c>
      <c r="BF2" s="147" t="s">
        <v>1485</v>
      </c>
      <c r="BG2" s="138" t="s">
        <v>3085</v>
      </c>
      <c r="BH2" s="124" t="s">
        <v>3086</v>
      </c>
      <c r="BI2" s="124" t="s">
        <v>3095</v>
      </c>
      <c r="BJ2" s="124" t="s">
        <v>3096</v>
      </c>
      <c r="BK2" s="124" t="s">
        <v>3097</v>
      </c>
      <c r="BL2" s="124" t="s">
        <v>3061</v>
      </c>
      <c r="BM2" s="124" t="s">
        <v>3062</v>
      </c>
      <c r="BN2" s="124" t="s">
        <v>3091</v>
      </c>
      <c r="BO2" s="124" t="s">
        <v>3092</v>
      </c>
      <c r="BP2" s="124" t="s">
        <v>3093</v>
      </c>
      <c r="BQ2" s="124" t="s">
        <v>3094</v>
      </c>
      <c r="BR2" s="119"/>
      <c r="BS2" s="146" t="s">
        <v>3063</v>
      </c>
      <c r="BT2" s="147" t="s">
        <v>1485</v>
      </c>
      <c r="BU2" s="122" t="s">
        <v>3125</v>
      </c>
      <c r="BV2" s="122" t="s">
        <v>3126</v>
      </c>
      <c r="BW2" s="122" t="s">
        <v>1486</v>
      </c>
      <c r="BX2" s="122" t="s">
        <v>3121</v>
      </c>
      <c r="BY2" s="122" t="s">
        <v>3122</v>
      </c>
      <c r="BZ2" s="122" t="s">
        <v>3123</v>
      </c>
      <c r="CA2" s="122" t="s">
        <v>3124</v>
      </c>
      <c r="CB2" s="138" t="s">
        <v>3064</v>
      </c>
      <c r="CC2" s="124" t="s">
        <v>3065</v>
      </c>
      <c r="CD2" s="124" t="s">
        <v>3066</v>
      </c>
      <c r="CE2" s="124" t="s">
        <v>3067</v>
      </c>
      <c r="CF2" s="124" t="s">
        <v>3068</v>
      </c>
      <c r="CG2" s="124" t="s">
        <v>3069</v>
      </c>
      <c r="CH2" s="124" t="s">
        <v>3070</v>
      </c>
      <c r="CI2" s="124" t="s">
        <v>3071</v>
      </c>
      <c r="CJ2" s="124" t="s">
        <v>3072</v>
      </c>
      <c r="CK2" s="124" t="s">
        <v>3073</v>
      </c>
      <c r="CL2" s="124" t="s">
        <v>3074</v>
      </c>
      <c r="CM2" s="124" t="s">
        <v>3075</v>
      </c>
      <c r="CN2" s="124" t="s">
        <v>3076</v>
      </c>
      <c r="CO2" s="124" t="s">
        <v>3077</v>
      </c>
      <c r="CP2" s="124" t="s">
        <v>3078</v>
      </c>
      <c r="CQ2" s="124" t="s">
        <v>3079</v>
      </c>
    </row>
    <row r="3" spans="1:95" ht="48" customHeight="1" thickTop="1" thickBot="1" x14ac:dyDescent="0.3">
      <c r="A3" s="30">
        <v>10005</v>
      </c>
      <c r="B3" s="48" t="s">
        <v>7</v>
      </c>
      <c r="C3" s="31"/>
      <c r="D3" s="32">
        <v>14.25</v>
      </c>
      <c r="E3" s="33">
        <v>1</v>
      </c>
      <c r="F3" s="34" t="s">
        <v>0</v>
      </c>
      <c r="G3" s="221" t="s">
        <v>1496</v>
      </c>
      <c r="H3" s="6"/>
      <c r="I3" s="3"/>
      <c r="J3" s="54" t="s">
        <v>72</v>
      </c>
      <c r="K3" s="54" t="s">
        <v>73</v>
      </c>
      <c r="L3" s="54" t="s">
        <v>64</v>
      </c>
      <c r="M3" s="54" t="s">
        <v>65</v>
      </c>
      <c r="N3" s="54" t="s">
        <v>66</v>
      </c>
      <c r="O3" s="54" t="s">
        <v>67</v>
      </c>
      <c r="P3" s="54"/>
      <c r="Q3" s="159" t="s">
        <v>125</v>
      </c>
      <c r="R3" s="159" t="s">
        <v>152</v>
      </c>
      <c r="S3" s="159" t="s">
        <v>4</v>
      </c>
      <c r="T3" s="159" t="s">
        <v>1</v>
      </c>
      <c r="U3" s="159" t="s">
        <v>145</v>
      </c>
      <c r="V3" s="159" t="s">
        <v>3166</v>
      </c>
      <c r="W3" s="159" t="s">
        <v>3102</v>
      </c>
      <c r="X3" s="160">
        <v>0.1</v>
      </c>
      <c r="Y3" s="160">
        <v>5.0000000000000001E-3</v>
      </c>
      <c r="Z3" s="164" t="s">
        <v>3088</v>
      </c>
      <c r="AA3" s="89">
        <v>2.0000000000000001E-4</v>
      </c>
      <c r="AB3" s="89">
        <v>0</v>
      </c>
      <c r="AC3" s="89"/>
      <c r="AD3" s="42" t="s">
        <v>3010</v>
      </c>
      <c r="AE3" s="43" t="s">
        <v>3153</v>
      </c>
      <c r="AF3" s="45"/>
      <c r="AG3" s="42" t="s">
        <v>3010</v>
      </c>
      <c r="AH3" s="43" t="s">
        <v>3119</v>
      </c>
      <c r="AI3" s="45"/>
      <c r="AJ3" s="44" t="s">
        <v>108</v>
      </c>
      <c r="AK3" s="44"/>
      <c r="AL3" s="126" t="s">
        <v>1487</v>
      </c>
      <c r="AM3" s="127" t="s">
        <v>1488</v>
      </c>
      <c r="AN3" s="128" t="s">
        <v>1489</v>
      </c>
      <c r="AO3" s="129">
        <v>0.1</v>
      </c>
      <c r="AP3" s="128">
        <v>0.15</v>
      </c>
      <c r="AQ3" s="128">
        <v>0.2</v>
      </c>
      <c r="AR3" s="128">
        <v>0.25</v>
      </c>
      <c r="AS3" s="128">
        <v>0.3</v>
      </c>
      <c r="AT3" s="128">
        <v>0.35</v>
      </c>
      <c r="AU3" s="128">
        <v>0.4</v>
      </c>
      <c r="AV3" s="128">
        <v>0.45</v>
      </c>
      <c r="AW3" s="128">
        <v>0.5</v>
      </c>
      <c r="AX3" s="128">
        <v>0.55000000000000004</v>
      </c>
      <c r="AY3" s="128">
        <v>0.6</v>
      </c>
      <c r="AZ3" s="128">
        <v>0.65</v>
      </c>
      <c r="BA3" s="128">
        <v>0.7</v>
      </c>
      <c r="BB3" s="128">
        <v>0.75</v>
      </c>
      <c r="BC3" s="128">
        <v>0.8</v>
      </c>
      <c r="BD3" s="119"/>
      <c r="BE3" s="148" t="s">
        <v>1487</v>
      </c>
      <c r="BF3" s="149" t="s">
        <v>1488</v>
      </c>
      <c r="BG3" s="139">
        <v>0.2</v>
      </c>
      <c r="BH3" s="128">
        <v>0.25</v>
      </c>
      <c r="BI3" s="128">
        <v>0.3</v>
      </c>
      <c r="BJ3" s="128">
        <v>0.35</v>
      </c>
      <c r="BK3" s="128">
        <v>0.4</v>
      </c>
      <c r="BL3" s="128">
        <v>0.45</v>
      </c>
      <c r="BM3" s="128">
        <v>0.5</v>
      </c>
      <c r="BN3" s="128">
        <v>0.55000000000000004</v>
      </c>
      <c r="BO3" s="128">
        <v>0.6</v>
      </c>
      <c r="BP3" s="128">
        <v>0.65</v>
      </c>
      <c r="BQ3" s="128">
        <v>0.7</v>
      </c>
      <c r="BR3" s="119"/>
      <c r="BS3" s="148" t="s">
        <v>1487</v>
      </c>
      <c r="BT3" s="149" t="s">
        <v>1488</v>
      </c>
      <c r="BU3" s="128">
        <v>0.4</v>
      </c>
      <c r="BV3" s="139">
        <v>0.45</v>
      </c>
      <c r="BW3" s="128">
        <v>0.5</v>
      </c>
      <c r="BX3" s="139">
        <v>0.55000000000000004</v>
      </c>
      <c r="BY3" s="128">
        <v>0.6</v>
      </c>
      <c r="BZ3" s="139">
        <v>0.65</v>
      </c>
      <c r="CA3" s="128">
        <v>0.7</v>
      </c>
      <c r="CB3" s="139">
        <v>0.75</v>
      </c>
      <c r="CC3" s="128">
        <v>0.8</v>
      </c>
      <c r="CD3" s="128">
        <v>0.85</v>
      </c>
      <c r="CE3" s="128">
        <v>0.9</v>
      </c>
      <c r="CF3" s="128">
        <v>0.95</v>
      </c>
      <c r="CG3" s="128">
        <v>1</v>
      </c>
      <c r="CH3" s="128">
        <v>1.05</v>
      </c>
      <c r="CI3" s="128">
        <v>1.1000000000000001</v>
      </c>
      <c r="CJ3" s="128">
        <v>1.1499999999999999</v>
      </c>
      <c r="CK3" s="128">
        <v>1.2</v>
      </c>
      <c r="CL3" s="128">
        <v>1.25</v>
      </c>
      <c r="CM3" s="128">
        <v>1.3</v>
      </c>
      <c r="CN3" s="128">
        <v>1.35</v>
      </c>
      <c r="CO3" s="128">
        <v>1.4</v>
      </c>
      <c r="CP3" s="128">
        <v>1.45</v>
      </c>
      <c r="CQ3" s="128">
        <v>1.5</v>
      </c>
    </row>
    <row r="4" spans="1:95" ht="48" customHeight="1" thickTop="1" thickBot="1" x14ac:dyDescent="0.3">
      <c r="A4" s="26">
        <v>10007</v>
      </c>
      <c r="B4" s="217" t="s">
        <v>165</v>
      </c>
      <c r="C4" s="219">
        <v>0.56799999999999995</v>
      </c>
      <c r="D4" s="36">
        <v>6.4</v>
      </c>
      <c r="E4" s="37">
        <v>1</v>
      </c>
      <c r="F4" s="38" t="s">
        <v>0</v>
      </c>
      <c r="G4" s="47" t="s">
        <v>1497</v>
      </c>
      <c r="H4" s="6"/>
      <c r="I4" s="3"/>
      <c r="J4" s="55">
        <v>11055</v>
      </c>
      <c r="K4" s="56" t="s">
        <v>36</v>
      </c>
      <c r="L4" s="57">
        <v>8</v>
      </c>
      <c r="M4" s="57">
        <v>8</v>
      </c>
      <c r="N4" s="57">
        <v>8</v>
      </c>
      <c r="O4" s="57">
        <v>8</v>
      </c>
      <c r="P4" s="57"/>
      <c r="Q4" s="159" t="s">
        <v>101</v>
      </c>
      <c r="R4" s="159" t="s">
        <v>87</v>
      </c>
      <c r="S4" s="159" t="s">
        <v>51</v>
      </c>
      <c r="T4" s="159" t="s">
        <v>9</v>
      </c>
      <c r="U4" s="159" t="s">
        <v>83</v>
      </c>
      <c r="V4" s="159" t="s">
        <v>3164</v>
      </c>
      <c r="W4" s="159" t="s">
        <v>3103</v>
      </c>
      <c r="X4" s="160">
        <v>0.15</v>
      </c>
      <c r="Y4" s="160">
        <v>6.0000000000000001E-3</v>
      </c>
      <c r="Z4" s="164" t="s">
        <v>3089</v>
      </c>
      <c r="AA4" s="89">
        <v>2.9999999999999997E-4</v>
      </c>
      <c r="AB4" s="89">
        <v>5.0000000000000001E-3</v>
      </c>
      <c r="AC4" s="89"/>
      <c r="AD4" s="42" t="s">
        <v>3010</v>
      </c>
      <c r="AE4" s="43" t="s">
        <v>1472</v>
      </c>
      <c r="AF4" s="45"/>
      <c r="AG4" s="42" t="s">
        <v>3010</v>
      </c>
      <c r="AH4" s="43" t="s">
        <v>1467</v>
      </c>
      <c r="AI4" s="45"/>
      <c r="AJ4" s="45" t="s">
        <v>1</v>
      </c>
      <c r="AK4" s="45"/>
      <c r="AL4" s="133">
        <v>11076</v>
      </c>
      <c r="AM4" s="134" t="s">
        <v>169</v>
      </c>
      <c r="AN4" s="135">
        <v>2.5000000000000001E-2</v>
      </c>
      <c r="AO4" s="136">
        <v>0.01</v>
      </c>
      <c r="AP4" s="135">
        <v>1.4999999999999999E-2</v>
      </c>
      <c r="AQ4" s="135">
        <v>0.02</v>
      </c>
      <c r="AR4" s="135">
        <v>2.5000000000000001E-2</v>
      </c>
      <c r="AS4" s="135">
        <v>0.03</v>
      </c>
      <c r="AT4" s="135"/>
      <c r="AU4" s="135"/>
      <c r="AV4" s="135"/>
      <c r="AW4" s="135"/>
      <c r="AX4" s="135"/>
      <c r="AY4" s="135"/>
      <c r="AZ4" s="135"/>
      <c r="BA4" s="135"/>
      <c r="BB4" s="135"/>
      <c r="BC4" s="135"/>
      <c r="BD4" s="118"/>
      <c r="BE4" s="150">
        <v>11076</v>
      </c>
      <c r="BF4" s="151" t="s">
        <v>169</v>
      </c>
      <c r="BG4" s="141">
        <v>0.01</v>
      </c>
      <c r="BH4" s="135">
        <v>1.4999999999999999E-2</v>
      </c>
      <c r="BI4" s="135">
        <v>0.02</v>
      </c>
      <c r="BJ4" s="135">
        <v>2.5000000000000001E-2</v>
      </c>
      <c r="BK4" s="135">
        <v>0.03</v>
      </c>
      <c r="BL4" s="135"/>
      <c r="BM4" s="135"/>
      <c r="BN4" s="135"/>
      <c r="BO4" s="135"/>
      <c r="BP4" s="135"/>
      <c r="BQ4" s="135"/>
      <c r="BR4" s="118"/>
      <c r="BS4" s="150">
        <v>11076</v>
      </c>
      <c r="BT4" s="151" t="s">
        <v>169</v>
      </c>
      <c r="BU4" s="181"/>
      <c r="BV4" s="181"/>
      <c r="BW4" s="181"/>
      <c r="BX4" s="181"/>
      <c r="BY4" s="181"/>
      <c r="BZ4" s="181"/>
      <c r="CA4" s="181"/>
      <c r="CB4" s="141"/>
      <c r="CC4" s="135"/>
      <c r="CD4" s="135"/>
      <c r="CE4" s="135"/>
      <c r="CF4" s="135"/>
      <c r="CG4" s="135"/>
      <c r="CH4" s="135"/>
      <c r="CI4" s="135"/>
      <c r="CJ4" s="135"/>
      <c r="CK4" s="135"/>
      <c r="CL4" s="135"/>
      <c r="CM4" s="135"/>
      <c r="CN4" s="135"/>
      <c r="CO4" s="135"/>
      <c r="CP4" s="135"/>
      <c r="CQ4" s="135"/>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59" t="s">
        <v>102</v>
      </c>
      <c r="R5" s="159" t="s">
        <v>88</v>
      </c>
      <c r="S5" s="159" t="s">
        <v>84</v>
      </c>
      <c r="T5" s="159" t="s">
        <v>17</v>
      </c>
      <c r="U5" s="159" t="s">
        <v>146</v>
      </c>
      <c r="V5" s="159" t="s">
        <v>3163</v>
      </c>
      <c r="W5" s="159" t="s">
        <v>3100</v>
      </c>
      <c r="X5" s="160">
        <v>0.2</v>
      </c>
      <c r="Y5" s="160">
        <v>7.0000000000000001E-3</v>
      </c>
      <c r="Z5" s="164" t="s">
        <v>65</v>
      </c>
      <c r="AA5" s="89">
        <v>4.0000000000000002E-4</v>
      </c>
      <c r="AB5" s="89">
        <v>0.01</v>
      </c>
      <c r="AC5" s="89"/>
      <c r="AD5" s="42" t="s">
        <v>3010</v>
      </c>
      <c r="AE5" s="43" t="s">
        <v>1473</v>
      </c>
      <c r="AF5" s="45"/>
      <c r="AG5" s="42" t="s">
        <v>3010</v>
      </c>
      <c r="AH5" s="43" t="s">
        <v>3116</v>
      </c>
      <c r="AI5" s="45"/>
      <c r="AJ5" s="45"/>
      <c r="AK5" s="45"/>
      <c r="AL5" s="130">
        <v>11176</v>
      </c>
      <c r="AM5" s="137" t="s">
        <v>170</v>
      </c>
      <c r="AN5" s="131">
        <v>0.01</v>
      </c>
      <c r="AO5" s="132">
        <v>2.5000000000000001E-3</v>
      </c>
      <c r="AP5" s="131">
        <v>5.0000000000000001E-3</v>
      </c>
      <c r="AQ5" s="131">
        <v>7.4999999999999997E-3</v>
      </c>
      <c r="AR5" s="131">
        <v>0.01</v>
      </c>
      <c r="AS5" s="131">
        <v>1.2500000000000001E-2</v>
      </c>
      <c r="AT5" s="131"/>
      <c r="AU5" s="131"/>
      <c r="AV5" s="131"/>
      <c r="AW5" s="131"/>
      <c r="AX5" s="131"/>
      <c r="AY5" s="131"/>
      <c r="AZ5" s="131"/>
      <c r="BA5" s="131"/>
      <c r="BB5" s="131"/>
      <c r="BC5" s="131"/>
      <c r="BD5" s="118"/>
      <c r="BE5" s="152">
        <v>11176</v>
      </c>
      <c r="BF5" s="153" t="s">
        <v>170</v>
      </c>
      <c r="BG5" s="140">
        <v>2.5000000000000001E-3</v>
      </c>
      <c r="BH5" s="131">
        <v>5.0000000000000001E-3</v>
      </c>
      <c r="BI5" s="131">
        <v>7.4999999999999997E-3</v>
      </c>
      <c r="BJ5" s="131">
        <v>0.01</v>
      </c>
      <c r="BK5" s="131">
        <v>1.2500000000000001E-2</v>
      </c>
      <c r="BL5" s="131"/>
      <c r="BM5" s="131"/>
      <c r="BN5" s="131"/>
      <c r="BO5" s="131"/>
      <c r="BP5" s="131"/>
      <c r="BQ5" s="131"/>
      <c r="BR5" s="118"/>
      <c r="BS5" s="152">
        <v>11176</v>
      </c>
      <c r="BT5" s="153" t="s">
        <v>170</v>
      </c>
      <c r="BU5" s="182"/>
      <c r="BV5" s="182"/>
      <c r="BW5" s="182"/>
      <c r="BX5" s="182"/>
      <c r="BY5" s="182"/>
      <c r="BZ5" s="182"/>
      <c r="CA5" s="182"/>
      <c r="CB5" s="140"/>
      <c r="CC5" s="131"/>
      <c r="CD5" s="131"/>
      <c r="CE5" s="131"/>
      <c r="CF5" s="131"/>
      <c r="CG5" s="131"/>
      <c r="CH5" s="131"/>
      <c r="CI5" s="131"/>
      <c r="CJ5" s="131"/>
      <c r="CK5" s="131"/>
      <c r="CL5" s="131"/>
      <c r="CM5" s="131"/>
      <c r="CN5" s="131"/>
      <c r="CO5" s="131"/>
      <c r="CP5" s="131"/>
      <c r="CQ5" s="131"/>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59" t="s">
        <v>103</v>
      </c>
      <c r="R6" s="159" t="s">
        <v>89</v>
      </c>
      <c r="S6" s="159" t="s">
        <v>61</v>
      </c>
      <c r="T6" s="159" t="s">
        <v>38</v>
      </c>
      <c r="U6" s="159" t="s">
        <v>79</v>
      </c>
      <c r="V6" s="159" t="s">
        <v>3152</v>
      </c>
      <c r="W6" s="159" t="s">
        <v>3162</v>
      </c>
      <c r="X6" s="160">
        <v>0.25</v>
      </c>
      <c r="Y6" s="160">
        <v>8.0000000000000002E-3</v>
      </c>
      <c r="Z6" s="164" t="s">
        <v>64</v>
      </c>
      <c r="AA6" s="89">
        <v>5.0000000000000001E-4</v>
      </c>
      <c r="AB6" s="89">
        <v>1.4999999999999999E-2</v>
      </c>
      <c r="AC6" s="89"/>
      <c r="AD6" s="42" t="s">
        <v>3010</v>
      </c>
      <c r="AE6" s="43" t="s">
        <v>1474</v>
      </c>
      <c r="AF6" s="45"/>
      <c r="AG6" s="42" t="s">
        <v>3117</v>
      </c>
      <c r="AH6" s="42" t="s">
        <v>178</v>
      </c>
      <c r="AI6" s="45"/>
      <c r="AJ6" s="45"/>
      <c r="AK6" s="45"/>
      <c r="AL6" s="133">
        <v>11152</v>
      </c>
      <c r="AM6" s="134" t="s">
        <v>172</v>
      </c>
      <c r="AN6" s="135">
        <v>1.7999999999999999E-2</v>
      </c>
      <c r="AO6" s="136">
        <v>1.7999999999999999E-2</v>
      </c>
      <c r="AP6" s="135">
        <v>1.7999999999999999E-2</v>
      </c>
      <c r="AQ6" s="135">
        <v>1.7999999999999999E-2</v>
      </c>
      <c r="AR6" s="135">
        <v>1.7999999999999999E-2</v>
      </c>
      <c r="AS6" s="135">
        <v>1.7999999999999999E-2</v>
      </c>
      <c r="AT6" s="135">
        <v>1.7999999999999999E-2</v>
      </c>
      <c r="AU6" s="135">
        <v>1.7999999999999999E-2</v>
      </c>
      <c r="AV6" s="135">
        <v>1.7999999999999999E-2</v>
      </c>
      <c r="AW6" s="135">
        <v>1.7999999999999999E-2</v>
      </c>
      <c r="AX6" s="135">
        <v>1.7999999999999999E-2</v>
      </c>
      <c r="AY6" s="135">
        <v>1.7999999999999999E-2</v>
      </c>
      <c r="AZ6" s="135">
        <v>1.7999999999999999E-2</v>
      </c>
      <c r="BA6" s="135">
        <v>1.7999999999999999E-2</v>
      </c>
      <c r="BB6" s="135">
        <v>1.7999999999999999E-2</v>
      </c>
      <c r="BC6" s="135">
        <v>1.7999999999999999E-2</v>
      </c>
      <c r="BD6" s="118"/>
      <c r="BE6" s="150">
        <v>11152</v>
      </c>
      <c r="BF6" s="151" t="s">
        <v>172</v>
      </c>
      <c r="BG6" s="141">
        <v>1.7999999999999999E-2</v>
      </c>
      <c r="BH6" s="135">
        <v>1.7999999999999999E-2</v>
      </c>
      <c r="BI6" s="135">
        <v>1.7999999999999999E-2</v>
      </c>
      <c r="BJ6" s="135">
        <v>1.7999999999999999E-2</v>
      </c>
      <c r="BK6" s="135">
        <v>1.7999999999999999E-2</v>
      </c>
      <c r="BL6" s="135">
        <v>1.7999999999999999E-2</v>
      </c>
      <c r="BM6" s="135">
        <v>1.7999999999999999E-2</v>
      </c>
      <c r="BN6" s="135">
        <v>1.7999999999999999E-2</v>
      </c>
      <c r="BO6" s="135">
        <v>1.7999999999999999E-2</v>
      </c>
      <c r="BP6" s="135">
        <v>1.7999999999999999E-2</v>
      </c>
      <c r="BQ6" s="135">
        <v>1.7999999999999999E-2</v>
      </c>
      <c r="BR6" s="118"/>
      <c r="BS6" s="150">
        <v>11152</v>
      </c>
      <c r="BT6" s="151" t="s">
        <v>172</v>
      </c>
      <c r="BU6" s="141">
        <v>1.7999999999999999E-2</v>
      </c>
      <c r="BV6" s="141">
        <v>1.7999999999999999E-2</v>
      </c>
      <c r="BW6" s="141">
        <v>1.7999999999999999E-2</v>
      </c>
      <c r="BX6" s="141">
        <v>1.7999999999999999E-2</v>
      </c>
      <c r="BY6" s="141">
        <v>1.7999999999999999E-2</v>
      </c>
      <c r="BZ6" s="141">
        <v>1.7999999999999999E-2</v>
      </c>
      <c r="CA6" s="141">
        <v>1.7999999999999999E-2</v>
      </c>
      <c r="CB6" s="141">
        <v>1.7999999999999999E-2</v>
      </c>
      <c r="CC6" s="135">
        <v>1.7999999999999999E-2</v>
      </c>
      <c r="CD6" s="135">
        <v>1.7999999999999999E-2</v>
      </c>
      <c r="CE6" s="135">
        <v>1.7999999999999999E-2</v>
      </c>
      <c r="CF6" s="135">
        <v>1.7999999999999999E-2</v>
      </c>
      <c r="CG6" s="135">
        <v>1.7999999999999999E-2</v>
      </c>
      <c r="CH6" s="135">
        <v>1.7999999999999999E-2</v>
      </c>
      <c r="CI6" s="135">
        <v>1.7999999999999999E-2</v>
      </c>
      <c r="CJ6" s="135">
        <v>1.7999999999999999E-2</v>
      </c>
      <c r="CK6" s="135">
        <v>1.7999999999999999E-2</v>
      </c>
      <c r="CL6" s="135">
        <v>1.7999999999999999E-2</v>
      </c>
      <c r="CM6" s="135">
        <v>1.7999999999999999E-2</v>
      </c>
      <c r="CN6" s="135">
        <v>1.7999999999999999E-2</v>
      </c>
      <c r="CO6" s="135">
        <v>1.7999999999999999E-2</v>
      </c>
      <c r="CP6" s="135">
        <v>1.7999999999999999E-2</v>
      </c>
      <c r="CQ6" s="135">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59" t="s">
        <v>104</v>
      </c>
      <c r="R7" s="159" t="s">
        <v>90</v>
      </c>
      <c r="S7" s="159" t="s">
        <v>78</v>
      </c>
      <c r="T7" s="159" t="s">
        <v>19</v>
      </c>
      <c r="U7" s="159" t="s">
        <v>80</v>
      </c>
      <c r="V7" s="159" t="s">
        <v>3167</v>
      </c>
      <c r="W7" s="159" t="s">
        <v>169</v>
      </c>
      <c r="X7" s="160">
        <v>0.3</v>
      </c>
      <c r="Y7" s="160">
        <v>8.9999999999999993E-3</v>
      </c>
      <c r="Z7" s="164" t="s">
        <v>67</v>
      </c>
      <c r="AA7" s="89">
        <v>5.9999999999999995E-4</v>
      </c>
      <c r="AB7" s="89">
        <v>0.02</v>
      </c>
      <c r="AC7" s="89"/>
      <c r="AD7" s="42" t="s">
        <v>3010</v>
      </c>
      <c r="AE7" s="43" t="s">
        <v>1475</v>
      </c>
      <c r="AF7" s="45"/>
      <c r="AG7" s="42" t="s">
        <v>178</v>
      </c>
      <c r="AH7" s="45" t="s">
        <v>178</v>
      </c>
      <c r="AI7" s="45"/>
      <c r="AJ7" s="45"/>
      <c r="AK7" s="45"/>
      <c r="AL7" s="133">
        <v>11066</v>
      </c>
      <c r="AM7" s="134" t="s">
        <v>359</v>
      </c>
      <c r="AN7" s="135">
        <v>3.6999999999999998E-2</v>
      </c>
      <c r="AO7" s="136">
        <v>3.6999999999999998E-2</v>
      </c>
      <c r="AP7" s="135">
        <v>3.6999999999999998E-2</v>
      </c>
      <c r="AQ7" s="135">
        <v>3.6999999999999998E-2</v>
      </c>
      <c r="AR7" s="135">
        <v>3.6999999999999998E-2</v>
      </c>
      <c r="AS7" s="135">
        <v>3.6999999999999998E-2</v>
      </c>
      <c r="AT7" s="135">
        <v>3.6999999999999998E-2</v>
      </c>
      <c r="AU7" s="135">
        <v>3.6999999999999998E-2</v>
      </c>
      <c r="AV7" s="135">
        <v>3.6999999999999998E-2</v>
      </c>
      <c r="AW7" s="135">
        <v>3.6999999999999998E-2</v>
      </c>
      <c r="AX7" s="135">
        <v>3.6999999999999998E-2</v>
      </c>
      <c r="AY7" s="135">
        <v>3.6999999999999998E-2</v>
      </c>
      <c r="AZ7" s="135">
        <v>3.6999999999999998E-2</v>
      </c>
      <c r="BA7" s="135">
        <v>3.6999999999999998E-2</v>
      </c>
      <c r="BB7" s="135">
        <v>3.6999999999999998E-2</v>
      </c>
      <c r="BC7" s="135">
        <v>3.6999999999999998E-2</v>
      </c>
      <c r="BD7" s="118"/>
      <c r="BE7" s="133">
        <v>11066</v>
      </c>
      <c r="BF7" s="134" t="s">
        <v>359</v>
      </c>
      <c r="BG7" s="135">
        <v>3.6999999999999998E-2</v>
      </c>
      <c r="BH7" s="135">
        <v>3.6999999999999998E-2</v>
      </c>
      <c r="BI7" s="135">
        <v>3.6999999999999998E-2</v>
      </c>
      <c r="BJ7" s="135">
        <v>3.6999999999999998E-2</v>
      </c>
      <c r="BK7" s="135">
        <v>3.6999999999999998E-2</v>
      </c>
      <c r="BL7" s="135">
        <v>3.6999999999999998E-2</v>
      </c>
      <c r="BM7" s="135">
        <v>3.6999999999999998E-2</v>
      </c>
      <c r="BN7" s="135">
        <v>3.6999999999999998E-2</v>
      </c>
      <c r="BO7" s="135">
        <v>3.6999999999999998E-2</v>
      </c>
      <c r="BP7" s="135">
        <v>3.6999999999999998E-2</v>
      </c>
      <c r="BQ7" s="135">
        <v>3.6999999999999998E-2</v>
      </c>
      <c r="BR7" s="118"/>
      <c r="BS7" s="133">
        <v>11066</v>
      </c>
      <c r="BT7" s="134" t="s">
        <v>359</v>
      </c>
      <c r="BU7" s="141">
        <v>3.6999999999999998E-2</v>
      </c>
      <c r="BV7" s="141">
        <v>3.6999999999999998E-2</v>
      </c>
      <c r="BW7" s="141">
        <v>3.6999999999999998E-2</v>
      </c>
      <c r="BX7" s="141">
        <v>3.6999999999999998E-2</v>
      </c>
      <c r="BY7" s="141">
        <v>3.6999999999999998E-2</v>
      </c>
      <c r="BZ7" s="141">
        <v>3.6999999999999998E-2</v>
      </c>
      <c r="CA7" s="141">
        <v>3.6999999999999998E-2</v>
      </c>
      <c r="CB7" s="141">
        <v>3.6999999999999998E-2</v>
      </c>
      <c r="CC7" s="135">
        <v>3.6999999999999998E-2</v>
      </c>
      <c r="CD7" s="135">
        <v>3.6999999999999998E-2</v>
      </c>
      <c r="CE7" s="135">
        <v>3.6999999999999998E-2</v>
      </c>
      <c r="CF7" s="135">
        <v>3.6999999999999998E-2</v>
      </c>
      <c r="CG7" s="135">
        <v>3.6999999999999998E-2</v>
      </c>
      <c r="CH7" s="135"/>
      <c r="CI7" s="135"/>
      <c r="CJ7" s="135"/>
      <c r="CK7" s="135"/>
      <c r="CL7" s="135"/>
      <c r="CM7" s="135"/>
      <c r="CN7" s="135"/>
      <c r="CO7" s="135"/>
      <c r="CP7" s="135"/>
      <c r="CQ7" s="135"/>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59" t="s">
        <v>126</v>
      </c>
      <c r="R8" s="159" t="s">
        <v>91</v>
      </c>
      <c r="S8" s="159" t="s">
        <v>1466</v>
      </c>
      <c r="T8" s="159" t="s">
        <v>39</v>
      </c>
      <c r="U8" s="159" t="s">
        <v>77</v>
      </c>
      <c r="V8" s="159"/>
      <c r="W8" s="159" t="s">
        <v>170</v>
      </c>
      <c r="X8" s="160">
        <v>0.35</v>
      </c>
      <c r="Y8" s="160">
        <v>0.01</v>
      </c>
      <c r="Z8" s="164" t="s">
        <v>3090</v>
      </c>
      <c r="AA8" s="89">
        <v>6.9999999999999999E-4</v>
      </c>
      <c r="AB8" s="89">
        <v>2.5000000000000001E-2</v>
      </c>
      <c r="AC8" s="89"/>
      <c r="AD8" s="42" t="s">
        <v>3010</v>
      </c>
      <c r="AE8" s="43" t="s">
        <v>1478</v>
      </c>
      <c r="AF8" s="45"/>
      <c r="AG8" s="42" t="s">
        <v>3010</v>
      </c>
      <c r="AH8" s="43" t="s">
        <v>1478</v>
      </c>
      <c r="AI8" s="45"/>
      <c r="AJ8" s="45"/>
      <c r="AK8" s="45"/>
      <c r="AL8" s="130">
        <v>11023</v>
      </c>
      <c r="AM8" s="137" t="s">
        <v>167</v>
      </c>
      <c r="AN8" s="131">
        <v>0.04</v>
      </c>
      <c r="AO8" s="132">
        <v>0.03</v>
      </c>
      <c r="AP8" s="131">
        <v>3.15E-2</v>
      </c>
      <c r="AQ8" s="131">
        <v>3.3000000000000002E-2</v>
      </c>
      <c r="AR8" s="131">
        <v>3.4500000000000003E-2</v>
      </c>
      <c r="AS8" s="131">
        <v>3.5999999999999997E-2</v>
      </c>
      <c r="AT8" s="131">
        <v>3.7499999999999999E-2</v>
      </c>
      <c r="AU8" s="131">
        <v>3.9E-2</v>
      </c>
      <c r="AV8" s="131">
        <v>0.04</v>
      </c>
      <c r="AW8" s="131">
        <v>0.04</v>
      </c>
      <c r="AX8" s="131">
        <v>0.04</v>
      </c>
      <c r="AY8" s="131">
        <v>0.04</v>
      </c>
      <c r="AZ8" s="131">
        <v>0.04</v>
      </c>
      <c r="BA8" s="131">
        <v>0.04</v>
      </c>
      <c r="BB8" s="131">
        <v>0.04</v>
      </c>
      <c r="BC8" s="131">
        <v>0.04</v>
      </c>
      <c r="BD8" s="118"/>
      <c r="BE8" s="152">
        <v>11023</v>
      </c>
      <c r="BF8" s="153" t="s">
        <v>167</v>
      </c>
      <c r="BG8" s="140">
        <v>0.02</v>
      </c>
      <c r="BH8" s="131">
        <v>0.02</v>
      </c>
      <c r="BI8" s="131">
        <v>0.02</v>
      </c>
      <c r="BJ8" s="131">
        <v>2.1999999999999999E-2</v>
      </c>
      <c r="BK8" s="131">
        <v>2.1999999999999999E-2</v>
      </c>
      <c r="BL8" s="131">
        <v>2.35E-2</v>
      </c>
      <c r="BM8" s="131">
        <v>2.5000000000000001E-2</v>
      </c>
      <c r="BN8" s="131">
        <v>2.6499999999999999E-2</v>
      </c>
      <c r="BO8" s="131">
        <v>2.8000000000000001E-2</v>
      </c>
      <c r="BP8" s="131">
        <v>0.03</v>
      </c>
      <c r="BQ8" s="131">
        <v>3.2000000000000001E-2</v>
      </c>
      <c r="BR8" s="118"/>
      <c r="BS8" s="152">
        <v>11023</v>
      </c>
      <c r="BT8" s="153" t="s">
        <v>167</v>
      </c>
      <c r="BU8" s="140">
        <v>0.04</v>
      </c>
      <c r="BV8" s="140">
        <v>0.04</v>
      </c>
      <c r="BW8" s="140">
        <v>0.04</v>
      </c>
      <c r="BX8" s="140">
        <v>0.04</v>
      </c>
      <c r="BY8" s="140">
        <v>0.04</v>
      </c>
      <c r="BZ8" s="140">
        <v>0.04</v>
      </c>
      <c r="CA8" s="140">
        <v>0.04</v>
      </c>
      <c r="CB8" s="140">
        <v>0.04</v>
      </c>
      <c r="CC8" s="131">
        <v>0.04</v>
      </c>
      <c r="CD8" s="131">
        <v>0.04</v>
      </c>
      <c r="CE8" s="131">
        <v>0.04</v>
      </c>
      <c r="CF8" s="131">
        <v>0.04</v>
      </c>
      <c r="CG8" s="131">
        <v>0.04</v>
      </c>
      <c r="CH8" s="131">
        <v>0.04</v>
      </c>
      <c r="CI8" s="131">
        <v>0.04</v>
      </c>
      <c r="CJ8" s="131">
        <v>0.04</v>
      </c>
      <c r="CK8" s="131">
        <v>0.04</v>
      </c>
      <c r="CL8" s="131">
        <v>0.04</v>
      </c>
      <c r="CM8" s="131">
        <v>0.04</v>
      </c>
      <c r="CN8" s="131">
        <v>0.04</v>
      </c>
      <c r="CO8" s="131">
        <v>0.04</v>
      </c>
      <c r="CP8" s="131">
        <v>0.04</v>
      </c>
      <c r="CQ8" s="131">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59" t="s">
        <v>127</v>
      </c>
      <c r="R9" s="159" t="s">
        <v>92</v>
      </c>
      <c r="S9" s="159" t="s">
        <v>147</v>
      </c>
      <c r="T9" s="159" t="s">
        <v>22</v>
      </c>
      <c r="U9" s="159" t="s">
        <v>81</v>
      </c>
      <c r="V9" s="159"/>
      <c r="W9" s="159" t="s">
        <v>172</v>
      </c>
      <c r="X9" s="160">
        <v>0.4</v>
      </c>
      <c r="Y9" s="160">
        <v>1.0999999999999999E-2</v>
      </c>
      <c r="Z9" s="164"/>
      <c r="AA9" s="89">
        <v>8.0000000000000004E-4</v>
      </c>
      <c r="AB9" s="89">
        <v>0.03</v>
      </c>
      <c r="AC9" s="89"/>
      <c r="AD9" s="42" t="s">
        <v>3010</v>
      </c>
      <c r="AE9" s="43" t="s">
        <v>3118</v>
      </c>
      <c r="AF9" s="45"/>
      <c r="AG9" s="42" t="s">
        <v>3010</v>
      </c>
      <c r="AH9" s="43" t="s">
        <v>3118</v>
      </c>
      <c r="AI9" s="45"/>
      <c r="AJ9" s="45"/>
      <c r="AK9" s="45"/>
      <c r="AL9" s="133">
        <v>11024</v>
      </c>
      <c r="AM9" s="134" t="s">
        <v>168</v>
      </c>
      <c r="AN9" s="135">
        <v>0.04</v>
      </c>
      <c r="AO9" s="136">
        <v>0.03</v>
      </c>
      <c r="AP9" s="135">
        <v>3.15E-2</v>
      </c>
      <c r="AQ9" s="135">
        <v>3.3000000000000002E-2</v>
      </c>
      <c r="AR9" s="135">
        <v>3.4500000000000003E-2</v>
      </c>
      <c r="AS9" s="135">
        <v>3.5999999999999997E-2</v>
      </c>
      <c r="AT9" s="135">
        <v>3.7499999999999999E-2</v>
      </c>
      <c r="AU9" s="135">
        <v>3.9E-2</v>
      </c>
      <c r="AV9" s="135">
        <v>0.04</v>
      </c>
      <c r="AW9" s="135">
        <v>0.04</v>
      </c>
      <c r="AX9" s="135">
        <v>0.04</v>
      </c>
      <c r="AY9" s="135">
        <v>0.04</v>
      </c>
      <c r="AZ9" s="135">
        <v>0.04</v>
      </c>
      <c r="BA9" s="135">
        <v>0.04</v>
      </c>
      <c r="BB9" s="135">
        <v>0.04</v>
      </c>
      <c r="BC9" s="135">
        <v>0.04</v>
      </c>
      <c r="BD9" s="118"/>
      <c r="BE9" s="150">
        <v>11024</v>
      </c>
      <c r="BF9" s="151" t="s">
        <v>168</v>
      </c>
      <c r="BG9" s="141">
        <v>0.02</v>
      </c>
      <c r="BH9" s="135">
        <v>0.02</v>
      </c>
      <c r="BI9" s="135">
        <v>0.02</v>
      </c>
      <c r="BJ9" s="135">
        <v>2.1999999999999999E-2</v>
      </c>
      <c r="BK9" s="135">
        <v>2.1999999999999999E-2</v>
      </c>
      <c r="BL9" s="135">
        <v>2.35E-2</v>
      </c>
      <c r="BM9" s="135">
        <v>2.5000000000000001E-2</v>
      </c>
      <c r="BN9" s="135">
        <v>2.6499999999999999E-2</v>
      </c>
      <c r="BO9" s="135">
        <v>2.8000000000000001E-2</v>
      </c>
      <c r="BP9" s="135">
        <v>0.03</v>
      </c>
      <c r="BQ9" s="135">
        <v>3.2000000000000001E-2</v>
      </c>
      <c r="BR9" s="118"/>
      <c r="BS9" s="150">
        <v>11024</v>
      </c>
      <c r="BT9" s="151" t="s">
        <v>168</v>
      </c>
      <c r="BU9" s="141">
        <v>0.04</v>
      </c>
      <c r="BV9" s="141">
        <v>0.04</v>
      </c>
      <c r="BW9" s="141">
        <v>0.04</v>
      </c>
      <c r="BX9" s="141">
        <v>0.04</v>
      </c>
      <c r="BY9" s="141">
        <v>0.04</v>
      </c>
      <c r="BZ9" s="141">
        <v>0.04</v>
      </c>
      <c r="CA9" s="141">
        <v>0.04</v>
      </c>
      <c r="CB9" s="141">
        <v>0.04</v>
      </c>
      <c r="CC9" s="135">
        <v>0.04</v>
      </c>
      <c r="CD9" s="135">
        <v>0.04</v>
      </c>
      <c r="CE9" s="135">
        <v>0.04</v>
      </c>
      <c r="CF9" s="135">
        <v>0.04</v>
      </c>
      <c r="CG9" s="135">
        <v>0.04</v>
      </c>
      <c r="CH9" s="135">
        <v>0.04</v>
      </c>
      <c r="CI9" s="135">
        <v>0.04</v>
      </c>
      <c r="CJ9" s="135">
        <v>0.04</v>
      </c>
      <c r="CK9" s="135">
        <v>0.04</v>
      </c>
      <c r="CL9" s="135">
        <v>0.04</v>
      </c>
      <c r="CM9" s="135">
        <v>0.04</v>
      </c>
      <c r="CN9" s="135">
        <v>0.04</v>
      </c>
      <c r="CO9" s="135">
        <v>0.04</v>
      </c>
      <c r="CP9" s="135">
        <v>0.04</v>
      </c>
      <c r="CQ9" s="135">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59" t="s">
        <v>158</v>
      </c>
      <c r="R10" s="159" t="s">
        <v>93</v>
      </c>
      <c r="S10" s="159" t="s">
        <v>174</v>
      </c>
      <c r="T10" s="159" t="s">
        <v>24</v>
      </c>
      <c r="U10" s="159" t="s">
        <v>159</v>
      </c>
      <c r="V10" s="159"/>
      <c r="W10" s="159" t="s">
        <v>359</v>
      </c>
      <c r="X10" s="160">
        <v>0.45</v>
      </c>
      <c r="Y10" s="160">
        <v>1.2E-2</v>
      </c>
      <c r="Z10" s="164"/>
      <c r="AA10" s="89">
        <v>8.9999999999999998E-4</v>
      </c>
      <c r="AB10" s="89"/>
      <c r="AC10" s="89"/>
      <c r="AD10" s="42" t="s">
        <v>3010</v>
      </c>
      <c r="AE10" s="45" t="s">
        <v>1476</v>
      </c>
      <c r="AF10" s="45"/>
      <c r="AG10" s="42" t="s">
        <v>3010</v>
      </c>
      <c r="AH10" s="45" t="s">
        <v>1477</v>
      </c>
      <c r="AI10" s="45"/>
      <c r="AJ10" s="45"/>
      <c r="AK10" s="45"/>
      <c r="AL10" s="130">
        <v>11016</v>
      </c>
      <c r="AM10" s="137" t="s">
        <v>336</v>
      </c>
      <c r="AN10" s="131">
        <v>0.04</v>
      </c>
      <c r="AO10" s="132">
        <v>0.03</v>
      </c>
      <c r="AP10" s="131">
        <v>3.15E-2</v>
      </c>
      <c r="AQ10" s="131">
        <v>3.3000000000000002E-2</v>
      </c>
      <c r="AR10" s="131">
        <v>3.4500000000000003E-2</v>
      </c>
      <c r="AS10" s="131">
        <v>3.5999999999999997E-2</v>
      </c>
      <c r="AT10" s="131">
        <v>3.7499999999999999E-2</v>
      </c>
      <c r="AU10" s="131">
        <v>3.9E-2</v>
      </c>
      <c r="AV10" s="131">
        <v>0.04</v>
      </c>
      <c r="AW10" s="131">
        <v>0.04</v>
      </c>
      <c r="AX10" s="131">
        <v>0.04</v>
      </c>
      <c r="AY10" s="131">
        <v>0.04</v>
      </c>
      <c r="AZ10" s="131">
        <v>0.04</v>
      </c>
      <c r="BA10" s="131">
        <v>0.04</v>
      </c>
      <c r="BB10" s="131">
        <v>0.04</v>
      </c>
      <c r="BC10" s="131">
        <v>0.04</v>
      </c>
      <c r="BD10" s="118"/>
      <c r="BE10" s="152">
        <v>11016</v>
      </c>
      <c r="BF10" s="153" t="s">
        <v>336</v>
      </c>
      <c r="BG10" s="140">
        <v>0.02</v>
      </c>
      <c r="BH10" s="131">
        <v>0.02</v>
      </c>
      <c r="BI10" s="131">
        <v>0.02</v>
      </c>
      <c r="BJ10" s="131">
        <v>2.1999999999999999E-2</v>
      </c>
      <c r="BK10" s="131">
        <v>2.1999999999999999E-2</v>
      </c>
      <c r="BL10" s="131">
        <v>2.35E-2</v>
      </c>
      <c r="BM10" s="131">
        <v>2.5000000000000001E-2</v>
      </c>
      <c r="BN10" s="131">
        <v>2.6499999999999999E-2</v>
      </c>
      <c r="BO10" s="131">
        <v>2.8000000000000001E-2</v>
      </c>
      <c r="BP10" s="131">
        <v>0.03</v>
      </c>
      <c r="BQ10" s="131">
        <v>3.2000000000000001E-2</v>
      </c>
      <c r="BR10" s="118"/>
      <c r="BS10" s="152">
        <v>11016</v>
      </c>
      <c r="BT10" s="153" t="s">
        <v>336</v>
      </c>
      <c r="BU10" s="140">
        <v>0.04</v>
      </c>
      <c r="BV10" s="140">
        <v>0.04</v>
      </c>
      <c r="BW10" s="140">
        <v>0.04</v>
      </c>
      <c r="BX10" s="140">
        <v>0.04</v>
      </c>
      <c r="BY10" s="140">
        <v>0.04</v>
      </c>
      <c r="BZ10" s="140">
        <v>0.04</v>
      </c>
      <c r="CA10" s="140">
        <v>0.04</v>
      </c>
      <c r="CB10" s="140">
        <v>0.04</v>
      </c>
      <c r="CC10" s="131">
        <v>0.04</v>
      </c>
      <c r="CD10" s="131">
        <v>0.04</v>
      </c>
      <c r="CE10" s="131">
        <v>0.04</v>
      </c>
      <c r="CF10" s="131">
        <v>0.04</v>
      </c>
      <c r="CG10" s="131">
        <v>0.04</v>
      </c>
      <c r="CH10" s="131">
        <v>0.04</v>
      </c>
      <c r="CI10" s="131">
        <v>0.04</v>
      </c>
      <c r="CJ10" s="131">
        <v>0.04</v>
      </c>
      <c r="CK10" s="131">
        <v>0.04</v>
      </c>
      <c r="CL10" s="131">
        <v>0.04</v>
      </c>
      <c r="CM10" s="131">
        <v>0.04</v>
      </c>
      <c r="CN10" s="131">
        <v>0.04</v>
      </c>
      <c r="CO10" s="131">
        <v>0.04</v>
      </c>
      <c r="CP10" s="131">
        <v>0.04</v>
      </c>
      <c r="CQ10" s="131">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59"/>
      <c r="R11" s="159" t="s">
        <v>94</v>
      </c>
      <c r="S11" s="159"/>
      <c r="T11" s="159" t="s">
        <v>53</v>
      </c>
      <c r="U11" s="159" t="s">
        <v>82</v>
      </c>
      <c r="V11" s="159" t="s">
        <v>3133</v>
      </c>
      <c r="W11" s="159" t="s">
        <v>167</v>
      </c>
      <c r="X11" s="160">
        <v>0.5</v>
      </c>
      <c r="Y11" s="160">
        <v>1.2999999999999999E-2</v>
      </c>
      <c r="Z11" s="164" t="s">
        <v>3017</v>
      </c>
      <c r="AA11" s="89">
        <v>1E-3</v>
      </c>
      <c r="AB11" s="89"/>
      <c r="AC11" s="89"/>
      <c r="AD11" s="42"/>
      <c r="AE11" s="45" t="s">
        <v>3115</v>
      </c>
      <c r="AF11" s="45"/>
      <c r="AG11" s="42" t="s">
        <v>178</v>
      </c>
      <c r="AH11" s="45" t="s">
        <v>3115</v>
      </c>
      <c r="AI11" s="45"/>
      <c r="AJ11" s="45"/>
      <c r="AK11" s="45"/>
      <c r="AL11" s="133">
        <v>51030</v>
      </c>
      <c r="AM11" s="134" t="s">
        <v>52</v>
      </c>
      <c r="AN11" s="135">
        <v>0.01</v>
      </c>
      <c r="AO11" s="136"/>
      <c r="AP11" s="135"/>
      <c r="AQ11" s="135"/>
      <c r="AR11" s="135"/>
      <c r="AS11" s="135"/>
      <c r="AT11" s="135"/>
      <c r="AU11" s="135"/>
      <c r="AV11" s="135"/>
      <c r="AW11" s="135"/>
      <c r="AX11" s="135"/>
      <c r="AY11" s="135"/>
      <c r="AZ11" s="135"/>
      <c r="BA11" s="135"/>
      <c r="BB11" s="135"/>
      <c r="BC11" s="135"/>
      <c r="BD11" s="118"/>
      <c r="BE11" s="150">
        <v>51030</v>
      </c>
      <c r="BF11" s="151" t="s">
        <v>52</v>
      </c>
      <c r="BG11" s="141"/>
      <c r="BH11" s="135"/>
      <c r="BI11" s="135"/>
      <c r="BJ11" s="135"/>
      <c r="BK11" s="135"/>
      <c r="BL11" s="135"/>
      <c r="BM11" s="135"/>
      <c r="BN11" s="135"/>
      <c r="BO11" s="135"/>
      <c r="BP11" s="135"/>
      <c r="BQ11" s="135"/>
      <c r="BR11" s="118"/>
      <c r="BS11" s="150">
        <v>51030</v>
      </c>
      <c r="BT11" s="151" t="s">
        <v>52</v>
      </c>
      <c r="BU11" s="181"/>
      <c r="BV11" s="181"/>
      <c r="BW11" s="181"/>
      <c r="BX11" s="181"/>
      <c r="BY11" s="181"/>
      <c r="BZ11" s="181"/>
      <c r="CA11" s="181"/>
      <c r="CB11" s="141"/>
      <c r="CC11" s="135"/>
      <c r="CD11" s="135"/>
      <c r="CE11" s="135"/>
      <c r="CF11" s="135"/>
      <c r="CG11" s="135"/>
      <c r="CH11" s="135"/>
      <c r="CI11" s="135"/>
      <c r="CJ11" s="135"/>
      <c r="CK11" s="135"/>
      <c r="CL11" s="135"/>
      <c r="CM11" s="135"/>
      <c r="CN11" s="135"/>
      <c r="CO11" s="135"/>
      <c r="CP11" s="135"/>
      <c r="CQ11" s="135"/>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59"/>
      <c r="R12" s="159" t="s">
        <v>95</v>
      </c>
      <c r="S12" s="159"/>
      <c r="T12" s="159" t="s">
        <v>62</v>
      </c>
      <c r="U12" s="159"/>
      <c r="V12" s="159" t="s">
        <v>3134</v>
      </c>
      <c r="W12" s="159" t="s">
        <v>168</v>
      </c>
      <c r="X12" s="160">
        <v>0.55000000000000004</v>
      </c>
      <c r="Y12" s="160">
        <v>1.4E-2</v>
      </c>
      <c r="Z12" s="164" t="s">
        <v>3016</v>
      </c>
      <c r="AA12" s="89"/>
      <c r="AB12" s="89"/>
      <c r="AC12" s="89"/>
      <c r="AD12" s="42" t="s">
        <v>1483</v>
      </c>
      <c r="AE12" s="42" t="s">
        <v>1484</v>
      </c>
      <c r="AF12" s="45"/>
      <c r="AG12" s="42" t="s">
        <v>1483</v>
      </c>
      <c r="AH12" s="42" t="s">
        <v>1484</v>
      </c>
      <c r="AI12" s="45"/>
      <c r="AJ12" s="45"/>
      <c r="AK12" s="45"/>
      <c r="AL12" s="130">
        <v>51024</v>
      </c>
      <c r="AM12" s="137" t="s">
        <v>613</v>
      </c>
      <c r="AN12" s="131">
        <v>0.01</v>
      </c>
      <c r="AO12" s="132"/>
      <c r="AP12" s="131"/>
      <c r="AQ12" s="131"/>
      <c r="AR12" s="131"/>
      <c r="AS12" s="131"/>
      <c r="AT12" s="131"/>
      <c r="AU12" s="131"/>
      <c r="AV12" s="131"/>
      <c r="AW12" s="131"/>
      <c r="AX12" s="131"/>
      <c r="AY12" s="131"/>
      <c r="AZ12" s="131"/>
      <c r="BA12" s="131"/>
      <c r="BB12" s="131"/>
      <c r="BC12" s="131"/>
      <c r="BD12" s="118"/>
      <c r="BE12" s="152">
        <v>51024</v>
      </c>
      <c r="BF12" s="153" t="s">
        <v>613</v>
      </c>
      <c r="BG12" s="140"/>
      <c r="BH12" s="131"/>
      <c r="BI12" s="131"/>
      <c r="BJ12" s="131"/>
      <c r="BK12" s="131"/>
      <c r="BL12" s="131"/>
      <c r="BM12" s="131"/>
      <c r="BN12" s="131"/>
      <c r="BO12" s="131"/>
      <c r="BP12" s="131"/>
      <c r="BQ12" s="131"/>
      <c r="BR12" s="118"/>
      <c r="BS12" s="152">
        <v>51024</v>
      </c>
      <c r="BT12" s="153" t="s">
        <v>613</v>
      </c>
      <c r="BU12" s="182"/>
      <c r="BV12" s="182"/>
      <c r="BW12" s="182"/>
      <c r="BX12" s="182"/>
      <c r="BY12" s="182"/>
      <c r="BZ12" s="182"/>
      <c r="CA12" s="182"/>
      <c r="CB12" s="140"/>
      <c r="CC12" s="131"/>
      <c r="CD12" s="131"/>
      <c r="CE12" s="131"/>
      <c r="CF12" s="131"/>
      <c r="CG12" s="131"/>
      <c r="CH12" s="131"/>
      <c r="CI12" s="131"/>
      <c r="CJ12" s="131"/>
      <c r="CK12" s="131"/>
      <c r="CL12" s="131"/>
      <c r="CM12" s="131"/>
      <c r="CN12" s="131"/>
      <c r="CO12" s="131"/>
      <c r="CP12" s="131"/>
      <c r="CQ12" s="131"/>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59" t="s">
        <v>105</v>
      </c>
      <c r="R13" s="159" t="s">
        <v>96</v>
      </c>
      <c r="S13" s="176"/>
      <c r="T13" s="176"/>
      <c r="U13" s="176"/>
      <c r="V13" s="176"/>
      <c r="W13" s="159" t="s">
        <v>336</v>
      </c>
      <c r="X13" s="161">
        <v>0.6</v>
      </c>
      <c r="Y13" s="161">
        <v>1.4999999999999999E-2</v>
      </c>
      <c r="Z13" s="177" t="s">
        <v>3136</v>
      </c>
      <c r="AA13" s="89"/>
      <c r="AB13" s="88"/>
      <c r="AC13" s="89"/>
      <c r="AD13" s="62" t="s">
        <v>3020</v>
      </c>
      <c r="AE13" s="62" t="s">
        <v>3028</v>
      </c>
      <c r="AF13" s="44"/>
      <c r="AG13" s="62" t="s">
        <v>3021</v>
      </c>
      <c r="AH13" s="62" t="s">
        <v>3025</v>
      </c>
      <c r="AI13" s="45"/>
      <c r="AJ13" s="45"/>
      <c r="AK13" s="45"/>
      <c r="AL13" s="133">
        <v>10516</v>
      </c>
      <c r="AM13" s="134" t="s">
        <v>311</v>
      </c>
      <c r="AN13" s="135">
        <v>0.01</v>
      </c>
      <c r="AO13" s="136"/>
      <c r="AP13" s="135"/>
      <c r="AQ13" s="135"/>
      <c r="AR13" s="135"/>
      <c r="AS13" s="135"/>
      <c r="AT13" s="135"/>
      <c r="AU13" s="135"/>
      <c r="AV13" s="135"/>
      <c r="AW13" s="135"/>
      <c r="AX13" s="135"/>
      <c r="AY13" s="135"/>
      <c r="AZ13" s="135"/>
      <c r="BA13" s="135"/>
      <c r="BB13" s="135"/>
      <c r="BC13" s="135"/>
      <c r="BD13" s="118"/>
      <c r="BE13" s="150">
        <v>10516</v>
      </c>
      <c r="BF13" s="151" t="s">
        <v>311</v>
      </c>
      <c r="BG13" s="141"/>
      <c r="BH13" s="135"/>
      <c r="BI13" s="135"/>
      <c r="BJ13" s="135"/>
      <c r="BK13" s="135"/>
      <c r="BL13" s="135"/>
      <c r="BM13" s="135"/>
      <c r="BN13" s="135"/>
      <c r="BO13" s="135"/>
      <c r="BP13" s="135"/>
      <c r="BQ13" s="135"/>
      <c r="BR13" s="118"/>
      <c r="BS13" s="150">
        <v>10516</v>
      </c>
      <c r="BT13" s="151" t="s">
        <v>311</v>
      </c>
      <c r="BU13" s="181"/>
      <c r="BV13" s="181"/>
      <c r="BW13" s="181"/>
      <c r="BX13" s="181"/>
      <c r="BY13" s="181"/>
      <c r="BZ13" s="181"/>
      <c r="CA13" s="181"/>
      <c r="CB13" s="141"/>
      <c r="CC13" s="135"/>
      <c r="CD13" s="135"/>
      <c r="CE13" s="135"/>
      <c r="CF13" s="135"/>
      <c r="CG13" s="135"/>
      <c r="CH13" s="135"/>
      <c r="CI13" s="135"/>
      <c r="CJ13" s="135"/>
      <c r="CK13" s="135"/>
      <c r="CL13" s="135"/>
      <c r="CM13" s="135"/>
      <c r="CN13" s="135"/>
      <c r="CO13" s="135"/>
      <c r="CP13" s="135"/>
      <c r="CQ13" s="135"/>
    </row>
    <row r="14" spans="1:95" ht="48" customHeight="1" thickTop="1" thickBot="1" x14ac:dyDescent="0.3">
      <c r="A14" s="30">
        <v>10027</v>
      </c>
      <c r="B14" s="48" t="s">
        <v>191</v>
      </c>
      <c r="C14" s="31"/>
      <c r="D14" s="32">
        <v>13.25</v>
      </c>
      <c r="E14" s="33">
        <v>1</v>
      </c>
      <c r="F14" s="34" t="s">
        <v>0</v>
      </c>
      <c r="G14" s="47" t="s">
        <v>1507</v>
      </c>
      <c r="H14" s="4"/>
      <c r="I14" s="4"/>
      <c r="Q14" s="159" t="s">
        <v>110</v>
      </c>
      <c r="R14" s="159" t="s">
        <v>97</v>
      </c>
      <c r="S14" s="159"/>
      <c r="T14" s="159"/>
      <c r="U14" s="159"/>
      <c r="V14" s="159"/>
      <c r="W14" s="159"/>
      <c r="X14" s="160">
        <v>0.65</v>
      </c>
      <c r="Y14" s="89">
        <v>1.6E-2</v>
      </c>
      <c r="Z14" s="164" t="s">
        <v>3137</v>
      </c>
      <c r="AA14" s="89"/>
      <c r="AB14" s="89"/>
      <c r="AC14" s="89"/>
      <c r="AD14" s="62" t="s">
        <v>3021</v>
      </c>
      <c r="AE14" s="62" t="s">
        <v>3029</v>
      </c>
      <c r="AF14" s="44"/>
      <c r="AG14" s="62" t="s">
        <v>3027</v>
      </c>
      <c r="AH14" s="43" t="s">
        <v>3026</v>
      </c>
      <c r="AI14" s="45"/>
      <c r="AJ14" s="45"/>
      <c r="AK14" s="45"/>
      <c r="AL14" s="130">
        <v>51025</v>
      </c>
      <c r="AM14" s="137" t="s">
        <v>614</v>
      </c>
      <c r="AN14" s="131">
        <v>0.01</v>
      </c>
      <c r="AO14" s="132"/>
      <c r="AP14" s="131"/>
      <c r="AQ14" s="131"/>
      <c r="AR14" s="131"/>
      <c r="AS14" s="131"/>
      <c r="AT14" s="131"/>
      <c r="AU14" s="131"/>
      <c r="AV14" s="131"/>
      <c r="AW14" s="131"/>
      <c r="AX14" s="131"/>
      <c r="AY14" s="131"/>
      <c r="AZ14" s="131"/>
      <c r="BA14" s="131"/>
      <c r="BB14" s="131"/>
      <c r="BC14" s="131"/>
      <c r="BD14" s="118"/>
      <c r="BE14" s="152">
        <v>51025</v>
      </c>
      <c r="BF14" s="153" t="s">
        <v>614</v>
      </c>
      <c r="BG14" s="140"/>
      <c r="BH14" s="131"/>
      <c r="BI14" s="131"/>
      <c r="BJ14" s="131"/>
      <c r="BK14" s="131"/>
      <c r="BL14" s="131"/>
      <c r="BM14" s="131"/>
      <c r="BN14" s="131"/>
      <c r="BO14" s="131"/>
      <c r="BP14" s="131"/>
      <c r="BQ14" s="131"/>
      <c r="BR14" s="118"/>
      <c r="BS14" s="152">
        <v>51025</v>
      </c>
      <c r="BT14" s="153" t="s">
        <v>614</v>
      </c>
      <c r="BU14" s="182"/>
      <c r="BV14" s="182"/>
      <c r="BW14" s="182"/>
      <c r="BX14" s="182"/>
      <c r="BY14" s="182"/>
      <c r="BZ14" s="182"/>
      <c r="CA14" s="182"/>
      <c r="CB14" s="140"/>
      <c r="CC14" s="131"/>
      <c r="CD14" s="131"/>
      <c r="CE14" s="131"/>
      <c r="CF14" s="131"/>
      <c r="CG14" s="131"/>
      <c r="CH14" s="131"/>
      <c r="CI14" s="131"/>
      <c r="CJ14" s="131"/>
      <c r="CK14" s="131"/>
      <c r="CL14" s="131"/>
      <c r="CM14" s="131"/>
      <c r="CN14" s="131"/>
      <c r="CO14" s="131"/>
      <c r="CP14" s="131"/>
      <c r="CQ14" s="131"/>
    </row>
    <row r="15" spans="1:95" ht="48" customHeight="1" thickTop="1" thickBot="1" x14ac:dyDescent="0.3">
      <c r="A15" s="30">
        <v>10028</v>
      </c>
      <c r="B15" s="48" t="s">
        <v>192</v>
      </c>
      <c r="C15" s="31"/>
      <c r="D15" s="32">
        <v>7.4</v>
      </c>
      <c r="E15" s="33">
        <v>1</v>
      </c>
      <c r="F15" s="34" t="s">
        <v>0</v>
      </c>
      <c r="G15" s="47" t="s">
        <v>1508</v>
      </c>
      <c r="H15" s="4"/>
      <c r="I15" s="4"/>
      <c r="Q15" s="159" t="s">
        <v>106</v>
      </c>
      <c r="R15" s="159" t="s">
        <v>98</v>
      </c>
      <c r="S15" s="159"/>
      <c r="T15" s="159"/>
      <c r="U15" s="159"/>
      <c r="V15" s="159"/>
      <c r="W15" s="159"/>
      <c r="X15" s="160">
        <v>0.7</v>
      </c>
      <c r="Y15" s="89">
        <v>1.7000000000000001E-2</v>
      </c>
      <c r="Z15" s="164" t="s">
        <v>3138</v>
      </c>
      <c r="AA15" s="89"/>
      <c r="AB15" s="89"/>
      <c r="AC15" s="89"/>
      <c r="AD15" s="62" t="s">
        <v>3023</v>
      </c>
      <c r="AE15" s="62" t="s">
        <v>3022</v>
      </c>
      <c r="AF15" s="44"/>
      <c r="AG15" s="43" t="s">
        <v>3024</v>
      </c>
      <c r="AH15" s="43" t="s">
        <v>178</v>
      </c>
      <c r="AI15" s="45"/>
      <c r="AJ15" s="45"/>
      <c r="AK15" s="45"/>
      <c r="AL15" s="133">
        <v>10517</v>
      </c>
      <c r="AM15" s="134" t="s">
        <v>312</v>
      </c>
      <c r="AN15" s="135">
        <v>0.01</v>
      </c>
      <c r="AO15" s="136"/>
      <c r="AP15" s="135"/>
      <c r="AQ15" s="135"/>
      <c r="AR15" s="135"/>
      <c r="AS15" s="135"/>
      <c r="AT15" s="135"/>
      <c r="AU15" s="135"/>
      <c r="AV15" s="135"/>
      <c r="AW15" s="135"/>
      <c r="AX15" s="135"/>
      <c r="AY15" s="135"/>
      <c r="AZ15" s="135"/>
      <c r="BA15" s="135"/>
      <c r="BB15" s="135"/>
      <c r="BC15" s="135"/>
      <c r="BD15" s="118"/>
      <c r="BE15" s="150">
        <v>10517</v>
      </c>
      <c r="BF15" s="151" t="s">
        <v>312</v>
      </c>
      <c r="BG15" s="141"/>
      <c r="BH15" s="135"/>
      <c r="BI15" s="135"/>
      <c r="BJ15" s="135"/>
      <c r="BK15" s="135"/>
      <c r="BL15" s="135"/>
      <c r="BM15" s="135"/>
      <c r="BN15" s="135"/>
      <c r="BO15" s="135"/>
      <c r="BP15" s="135"/>
      <c r="BQ15" s="135"/>
      <c r="BR15" s="118"/>
      <c r="BS15" s="150">
        <v>10517</v>
      </c>
      <c r="BT15" s="151" t="s">
        <v>312</v>
      </c>
      <c r="BU15" s="181"/>
      <c r="BV15" s="181"/>
      <c r="BW15" s="181"/>
      <c r="BX15" s="181"/>
      <c r="BY15" s="181"/>
      <c r="BZ15" s="181"/>
      <c r="CA15" s="181"/>
      <c r="CB15" s="141"/>
      <c r="CC15" s="135"/>
      <c r="CD15" s="135"/>
      <c r="CE15" s="135"/>
      <c r="CF15" s="135"/>
      <c r="CG15" s="135"/>
      <c r="CH15" s="135"/>
      <c r="CI15" s="135"/>
      <c r="CJ15" s="135"/>
      <c r="CK15" s="135"/>
      <c r="CL15" s="135"/>
      <c r="CM15" s="135"/>
      <c r="CN15" s="135"/>
      <c r="CO15" s="135"/>
      <c r="CP15" s="135"/>
      <c r="CQ15" s="135"/>
    </row>
    <row r="16" spans="1:95" ht="48" customHeight="1" thickTop="1" thickBot="1" x14ac:dyDescent="0.3">
      <c r="A16" s="30">
        <v>10029</v>
      </c>
      <c r="B16" s="48" t="s">
        <v>193</v>
      </c>
      <c r="C16" s="31"/>
      <c r="D16" s="32">
        <v>11.4</v>
      </c>
      <c r="E16" s="33">
        <v>1</v>
      </c>
      <c r="F16" s="34" t="s">
        <v>0</v>
      </c>
      <c r="G16" s="47" t="s">
        <v>1509</v>
      </c>
      <c r="H16" s="4"/>
      <c r="I16" s="4"/>
      <c r="Q16" s="159" t="s">
        <v>107</v>
      </c>
      <c r="R16" s="159" t="s">
        <v>99</v>
      </c>
      <c r="S16" s="159"/>
      <c r="T16" s="159"/>
      <c r="U16" s="159"/>
      <c r="V16" s="159"/>
      <c r="W16" s="159"/>
      <c r="X16" s="160">
        <v>0.8</v>
      </c>
      <c r="Y16" s="160">
        <v>1.7999999999999999E-2</v>
      </c>
      <c r="Z16" s="164" t="s">
        <v>3139</v>
      </c>
      <c r="AA16" s="89"/>
      <c r="AB16" s="89"/>
      <c r="AC16" s="89"/>
      <c r="AD16" s="62" t="s">
        <v>3027</v>
      </c>
      <c r="AE16" s="61" t="s">
        <v>178</v>
      </c>
      <c r="AF16" s="44"/>
      <c r="AG16" s="43" t="s">
        <v>178</v>
      </c>
      <c r="AH16" s="43" t="s">
        <v>178</v>
      </c>
      <c r="AI16" s="45"/>
      <c r="AJ16" s="45"/>
      <c r="AK16" s="45"/>
      <c r="AL16" s="130">
        <v>51022</v>
      </c>
      <c r="AM16" s="137" t="s">
        <v>611</v>
      </c>
      <c r="AN16" s="131">
        <v>0.01</v>
      </c>
      <c r="AO16" s="132"/>
      <c r="AP16" s="131"/>
      <c r="AQ16" s="131"/>
      <c r="AR16" s="131"/>
      <c r="AS16" s="131"/>
      <c r="AT16" s="131"/>
      <c r="AU16" s="131"/>
      <c r="AV16" s="131"/>
      <c r="AW16" s="131"/>
      <c r="AX16" s="131"/>
      <c r="AY16" s="131"/>
      <c r="AZ16" s="131"/>
      <c r="BA16" s="131"/>
      <c r="BB16" s="131"/>
      <c r="BC16" s="131"/>
      <c r="BD16" s="118"/>
      <c r="BE16" s="152">
        <v>51022</v>
      </c>
      <c r="BF16" s="153" t="s">
        <v>611</v>
      </c>
      <c r="BG16" s="140"/>
      <c r="BH16" s="131"/>
      <c r="BI16" s="131"/>
      <c r="BJ16" s="131"/>
      <c r="BK16" s="131"/>
      <c r="BL16" s="131"/>
      <c r="BM16" s="131"/>
      <c r="BN16" s="131"/>
      <c r="BO16" s="131"/>
      <c r="BP16" s="131"/>
      <c r="BQ16" s="131"/>
      <c r="BR16" s="118"/>
      <c r="BS16" s="152">
        <v>51022</v>
      </c>
      <c r="BT16" s="153" t="s">
        <v>611</v>
      </c>
      <c r="BU16" s="182"/>
      <c r="BV16" s="182"/>
      <c r="BW16" s="182"/>
      <c r="BX16" s="182"/>
      <c r="BY16" s="182"/>
      <c r="BZ16" s="182"/>
      <c r="CA16" s="182"/>
      <c r="CB16" s="140"/>
      <c r="CC16" s="131"/>
      <c r="CD16" s="131"/>
      <c r="CE16" s="131"/>
      <c r="CF16" s="131"/>
      <c r="CG16" s="131"/>
      <c r="CH16" s="131"/>
      <c r="CI16" s="131"/>
      <c r="CJ16" s="131"/>
      <c r="CK16" s="131"/>
      <c r="CL16" s="131"/>
      <c r="CM16" s="131"/>
      <c r="CN16" s="131"/>
      <c r="CO16" s="131"/>
      <c r="CP16" s="131"/>
      <c r="CQ16" s="131"/>
    </row>
    <row r="17" spans="1:95" ht="48" customHeight="1" thickTop="1" thickBot="1" x14ac:dyDescent="0.3">
      <c r="A17" s="30">
        <v>10030</v>
      </c>
      <c r="B17" s="48" t="s">
        <v>194</v>
      </c>
      <c r="C17" s="31"/>
      <c r="D17" s="32">
        <v>9.9</v>
      </c>
      <c r="E17" s="33">
        <v>1</v>
      </c>
      <c r="F17" s="34" t="s">
        <v>0</v>
      </c>
      <c r="G17" s="47" t="s">
        <v>1510</v>
      </c>
      <c r="H17" s="4"/>
      <c r="I17" s="4"/>
      <c r="Q17" s="159" t="s">
        <v>109</v>
      </c>
      <c r="R17" s="159" t="s">
        <v>100</v>
      </c>
      <c r="S17" s="176"/>
      <c r="T17" s="176"/>
      <c r="U17" s="176"/>
      <c r="V17" s="176"/>
      <c r="W17" s="159"/>
      <c r="X17" s="160">
        <v>0.85</v>
      </c>
      <c r="Y17" s="160">
        <v>1.9E-2</v>
      </c>
      <c r="Z17" s="177" t="s">
        <v>3136</v>
      </c>
      <c r="AA17" s="89"/>
      <c r="AB17" s="88"/>
      <c r="AC17" s="89"/>
      <c r="AD17" s="61"/>
      <c r="AE17" s="42"/>
      <c r="AF17" s="45"/>
      <c r="AG17" s="42"/>
      <c r="AH17" s="42"/>
      <c r="AI17" s="45"/>
      <c r="AJ17" s="45"/>
      <c r="AK17" s="45"/>
      <c r="AL17" s="133">
        <v>51011</v>
      </c>
      <c r="AM17" s="134" t="s">
        <v>606</v>
      </c>
      <c r="AN17" s="135">
        <v>3.0000000000000001E-3</v>
      </c>
      <c r="AO17" s="136"/>
      <c r="AP17" s="135"/>
      <c r="AQ17" s="135"/>
      <c r="AR17" s="135"/>
      <c r="AS17" s="135"/>
      <c r="AT17" s="135"/>
      <c r="AU17" s="135"/>
      <c r="AV17" s="135"/>
      <c r="AW17" s="135"/>
      <c r="AX17" s="135"/>
      <c r="AY17" s="135"/>
      <c r="AZ17" s="135"/>
      <c r="BA17" s="135"/>
      <c r="BB17" s="135"/>
      <c r="BC17" s="135"/>
      <c r="BD17" s="118"/>
      <c r="BE17" s="150">
        <v>51011</v>
      </c>
      <c r="BF17" s="151" t="s">
        <v>606</v>
      </c>
      <c r="BG17" s="141"/>
      <c r="BH17" s="135"/>
      <c r="BI17" s="135"/>
      <c r="BJ17" s="135"/>
      <c r="BK17" s="135"/>
      <c r="BL17" s="135"/>
      <c r="BM17" s="135"/>
      <c r="BN17" s="135"/>
      <c r="BO17" s="135"/>
      <c r="BP17" s="135"/>
      <c r="BQ17" s="135"/>
      <c r="BR17" s="118"/>
      <c r="BS17" s="150">
        <v>51011</v>
      </c>
      <c r="BT17" s="151" t="s">
        <v>606</v>
      </c>
      <c r="BU17" s="181"/>
      <c r="BV17" s="181"/>
      <c r="BW17" s="181"/>
      <c r="BX17" s="181"/>
      <c r="BY17" s="181"/>
      <c r="BZ17" s="181"/>
      <c r="CA17" s="181"/>
      <c r="CB17" s="141"/>
      <c r="CC17" s="135"/>
      <c r="CD17" s="135"/>
      <c r="CE17" s="135"/>
      <c r="CF17" s="135"/>
      <c r="CG17" s="135"/>
      <c r="CH17" s="135"/>
      <c r="CI17" s="135"/>
      <c r="CJ17" s="135"/>
      <c r="CK17" s="135"/>
      <c r="CL17" s="135"/>
      <c r="CM17" s="135"/>
      <c r="CN17" s="135"/>
      <c r="CO17" s="135"/>
      <c r="CP17" s="135"/>
      <c r="CQ17" s="135"/>
    </row>
    <row r="18" spans="1:95" ht="48" customHeight="1" thickTop="1" thickBot="1" x14ac:dyDescent="0.3">
      <c r="A18" s="30">
        <v>10031</v>
      </c>
      <c r="B18" s="48" t="s">
        <v>195</v>
      </c>
      <c r="C18" s="31"/>
      <c r="D18" s="32">
        <v>15.25</v>
      </c>
      <c r="E18" s="33">
        <v>1</v>
      </c>
      <c r="F18" s="34" t="s">
        <v>0</v>
      </c>
      <c r="G18" s="47" t="s">
        <v>1511</v>
      </c>
      <c r="H18" s="4"/>
      <c r="I18" s="4"/>
      <c r="Q18" s="159" t="s">
        <v>108</v>
      </c>
      <c r="R18" s="159" t="s">
        <v>148</v>
      </c>
      <c r="S18" s="159"/>
      <c r="T18" s="159"/>
      <c r="U18" s="159"/>
      <c r="V18" s="159"/>
      <c r="W18" s="159"/>
      <c r="X18" s="160">
        <v>0.9</v>
      </c>
      <c r="Y18" s="89">
        <v>0.02</v>
      </c>
      <c r="Z18" s="164" t="s">
        <v>3140</v>
      </c>
      <c r="AA18" s="89"/>
      <c r="AB18" s="89"/>
      <c r="AC18" s="88"/>
      <c r="AL18" s="130">
        <v>51029</v>
      </c>
      <c r="AM18" s="137" t="s">
        <v>618</v>
      </c>
      <c r="AN18" s="131">
        <v>0.01</v>
      </c>
      <c r="AO18" s="132"/>
      <c r="AP18" s="131"/>
      <c r="AQ18" s="131"/>
      <c r="AR18" s="131"/>
      <c r="AS18" s="131"/>
      <c r="AT18" s="131"/>
      <c r="AU18" s="131"/>
      <c r="AV18" s="131"/>
      <c r="AW18" s="131"/>
      <c r="AX18" s="131"/>
      <c r="AY18" s="131"/>
      <c r="AZ18" s="131"/>
      <c r="BA18" s="131"/>
      <c r="BB18" s="131"/>
      <c r="BC18" s="131"/>
      <c r="BD18" s="118"/>
      <c r="BE18" s="152">
        <v>51029</v>
      </c>
      <c r="BF18" s="153" t="s">
        <v>618</v>
      </c>
      <c r="BG18" s="140"/>
      <c r="BH18" s="131"/>
      <c r="BI18" s="131"/>
      <c r="BJ18" s="131"/>
      <c r="BK18" s="131"/>
      <c r="BL18" s="131"/>
      <c r="BM18" s="131"/>
      <c r="BN18" s="131"/>
      <c r="BO18" s="131"/>
      <c r="BP18" s="131"/>
      <c r="BQ18" s="131"/>
      <c r="BR18" s="118"/>
      <c r="BS18" s="152">
        <v>51029</v>
      </c>
      <c r="BT18" s="153" t="s">
        <v>618</v>
      </c>
      <c r="BU18" s="182"/>
      <c r="BV18" s="182"/>
      <c r="BW18" s="182"/>
      <c r="BX18" s="182"/>
      <c r="BY18" s="182"/>
      <c r="BZ18" s="182"/>
      <c r="CA18" s="182"/>
      <c r="CB18" s="140"/>
      <c r="CC18" s="131"/>
      <c r="CD18" s="131"/>
      <c r="CE18" s="131"/>
      <c r="CF18" s="131"/>
      <c r="CG18" s="131"/>
      <c r="CH18" s="131"/>
      <c r="CI18" s="131"/>
      <c r="CJ18" s="131"/>
      <c r="CK18" s="131"/>
      <c r="CL18" s="131"/>
      <c r="CM18" s="131"/>
      <c r="CN18" s="131"/>
      <c r="CO18" s="131"/>
      <c r="CP18" s="131"/>
      <c r="CQ18" s="131"/>
    </row>
    <row r="19" spans="1:95" ht="48" customHeight="1" thickTop="1" thickBot="1" x14ac:dyDescent="0.3">
      <c r="A19" s="30">
        <v>10033</v>
      </c>
      <c r="B19" s="48" t="s">
        <v>196</v>
      </c>
      <c r="C19" s="31"/>
      <c r="D19" s="32">
        <v>7.9</v>
      </c>
      <c r="E19" s="33">
        <v>1</v>
      </c>
      <c r="F19" s="34" t="s">
        <v>0</v>
      </c>
      <c r="G19" s="47" t="s">
        <v>1512</v>
      </c>
      <c r="H19" s="4"/>
      <c r="I19" s="4"/>
      <c r="Q19" s="159" t="s">
        <v>142</v>
      </c>
      <c r="R19" s="159" t="s">
        <v>149</v>
      </c>
      <c r="S19" s="159"/>
      <c r="T19" s="159"/>
      <c r="U19" s="159"/>
      <c r="V19" s="159"/>
      <c r="W19" s="159"/>
      <c r="X19" s="160">
        <v>0.95</v>
      </c>
      <c r="Y19" s="89">
        <v>2.1000000000000001E-2</v>
      </c>
      <c r="Z19" s="164" t="s">
        <v>3141</v>
      </c>
      <c r="AA19" s="89"/>
      <c r="AB19" s="89"/>
      <c r="AC19" s="88"/>
      <c r="AL19" s="133">
        <v>51021</v>
      </c>
      <c r="AM19" s="134" t="s">
        <v>610</v>
      </c>
      <c r="AN19" s="135">
        <v>0.01</v>
      </c>
      <c r="AO19" s="136"/>
      <c r="AP19" s="135"/>
      <c r="AQ19" s="135"/>
      <c r="AR19" s="135"/>
      <c r="AS19" s="135"/>
      <c r="AT19" s="135"/>
      <c r="AU19" s="135"/>
      <c r="AV19" s="135"/>
      <c r="AW19" s="135"/>
      <c r="AX19" s="135"/>
      <c r="AY19" s="135"/>
      <c r="AZ19" s="135"/>
      <c r="BA19" s="135"/>
      <c r="BB19" s="135"/>
      <c r="BC19" s="135"/>
      <c r="BD19" s="118"/>
      <c r="BE19" s="150">
        <v>51021</v>
      </c>
      <c r="BF19" s="151" t="s">
        <v>610</v>
      </c>
      <c r="BG19" s="141"/>
      <c r="BH19" s="135"/>
      <c r="BI19" s="135"/>
      <c r="BJ19" s="135"/>
      <c r="BK19" s="135"/>
      <c r="BL19" s="135"/>
      <c r="BM19" s="135"/>
      <c r="BN19" s="135"/>
      <c r="BO19" s="135"/>
      <c r="BP19" s="135"/>
      <c r="BQ19" s="135"/>
      <c r="BR19" s="118"/>
      <c r="BS19" s="150">
        <v>51021</v>
      </c>
      <c r="BT19" s="151" t="s">
        <v>610</v>
      </c>
      <c r="BU19" s="181"/>
      <c r="BV19" s="181"/>
      <c r="BW19" s="181"/>
      <c r="BX19" s="181"/>
      <c r="BY19" s="181"/>
      <c r="BZ19" s="181"/>
      <c r="CA19" s="181"/>
      <c r="CB19" s="141"/>
      <c r="CC19" s="135"/>
      <c r="CD19" s="135"/>
      <c r="CE19" s="135"/>
      <c r="CF19" s="135"/>
      <c r="CG19" s="135"/>
      <c r="CH19" s="135"/>
      <c r="CI19" s="135"/>
      <c r="CJ19" s="135"/>
      <c r="CK19" s="135"/>
      <c r="CL19" s="135"/>
      <c r="CM19" s="135"/>
      <c r="CN19" s="135"/>
      <c r="CO19" s="135"/>
      <c r="CP19" s="135"/>
      <c r="CQ19" s="135"/>
    </row>
    <row r="20" spans="1:95" ht="48" customHeight="1" thickTop="1" thickBot="1" x14ac:dyDescent="0.3">
      <c r="A20" s="30">
        <v>10034</v>
      </c>
      <c r="B20" s="48" t="s">
        <v>197</v>
      </c>
      <c r="C20" s="31"/>
      <c r="D20" s="32">
        <v>1.49</v>
      </c>
      <c r="E20" s="33">
        <v>1</v>
      </c>
      <c r="F20" s="34" t="s">
        <v>0</v>
      </c>
      <c r="G20" s="47" t="s">
        <v>1513</v>
      </c>
      <c r="H20" s="4"/>
      <c r="I20" s="4"/>
      <c r="Q20" s="159" t="s">
        <v>157</v>
      </c>
      <c r="R20" s="159" t="s">
        <v>156</v>
      </c>
      <c r="S20" s="159"/>
      <c r="T20" s="159"/>
      <c r="U20" s="159"/>
      <c r="V20" s="159"/>
      <c r="W20" s="159"/>
      <c r="X20" s="160">
        <v>1</v>
      </c>
      <c r="Y20" s="89">
        <v>2.1999999999999999E-2</v>
      </c>
      <c r="Z20" s="164" t="s">
        <v>3142</v>
      </c>
      <c r="AA20" s="89"/>
      <c r="AB20" s="88"/>
      <c r="AC20" s="88"/>
      <c r="AL20" s="130">
        <v>51020</v>
      </c>
      <c r="AM20" s="137" t="s">
        <v>609</v>
      </c>
      <c r="AN20" s="131">
        <v>3.0000000000000001E-3</v>
      </c>
      <c r="AO20" s="132"/>
      <c r="AP20" s="131"/>
      <c r="AQ20" s="131"/>
      <c r="AR20" s="131"/>
      <c r="AS20" s="131"/>
      <c r="AT20" s="131"/>
      <c r="AU20" s="131"/>
      <c r="AV20" s="131"/>
      <c r="AW20" s="131"/>
      <c r="AX20" s="131"/>
      <c r="AY20" s="131"/>
      <c r="AZ20" s="131"/>
      <c r="BA20" s="131"/>
      <c r="BB20" s="131"/>
      <c r="BC20" s="131"/>
      <c r="BD20" s="118"/>
      <c r="BE20" s="152">
        <v>51020</v>
      </c>
      <c r="BF20" s="153" t="s">
        <v>609</v>
      </c>
      <c r="BG20" s="140"/>
      <c r="BH20" s="131"/>
      <c r="BI20" s="131"/>
      <c r="BJ20" s="131"/>
      <c r="BK20" s="131"/>
      <c r="BL20" s="131"/>
      <c r="BM20" s="131"/>
      <c r="BN20" s="131"/>
      <c r="BO20" s="131"/>
      <c r="BP20" s="131"/>
      <c r="BQ20" s="131"/>
      <c r="BR20" s="118"/>
      <c r="BS20" s="152">
        <v>51020</v>
      </c>
      <c r="BT20" s="153" t="s">
        <v>609</v>
      </c>
      <c r="BU20" s="182"/>
      <c r="BV20" s="182"/>
      <c r="BW20" s="182"/>
      <c r="BX20" s="182"/>
      <c r="BY20" s="182"/>
      <c r="BZ20" s="182"/>
      <c r="CA20" s="182"/>
      <c r="CB20" s="140"/>
      <c r="CC20" s="131"/>
      <c r="CD20" s="131"/>
      <c r="CE20" s="131"/>
      <c r="CF20" s="131"/>
      <c r="CG20" s="131"/>
      <c r="CH20" s="131"/>
      <c r="CI20" s="131"/>
      <c r="CJ20" s="131"/>
      <c r="CK20" s="131"/>
      <c r="CL20" s="131"/>
      <c r="CM20" s="131"/>
      <c r="CN20" s="131"/>
      <c r="CO20" s="131"/>
      <c r="CP20" s="131"/>
      <c r="CQ20" s="131"/>
    </row>
    <row r="21" spans="1:95" ht="48" customHeight="1" thickTop="1" thickBot="1" x14ac:dyDescent="0.3">
      <c r="A21" s="30">
        <v>10035</v>
      </c>
      <c r="B21" s="49" t="s">
        <v>198</v>
      </c>
      <c r="C21" s="35"/>
      <c r="D21" s="36">
        <v>9.9</v>
      </c>
      <c r="E21" s="37">
        <v>1</v>
      </c>
      <c r="F21" s="38" t="s">
        <v>0</v>
      </c>
      <c r="G21" s="47" t="s">
        <v>1514</v>
      </c>
      <c r="H21" s="4"/>
      <c r="I21" s="4"/>
      <c r="Q21" s="159"/>
      <c r="R21" s="159" t="s">
        <v>150</v>
      </c>
      <c r="S21" s="159"/>
      <c r="T21" s="159"/>
      <c r="U21" s="159"/>
      <c r="V21" s="159"/>
      <c r="W21" s="159"/>
      <c r="X21" s="160">
        <v>1.05</v>
      </c>
      <c r="Y21" s="89">
        <v>2.3E-2</v>
      </c>
      <c r="Z21" s="164" t="s">
        <v>3104</v>
      </c>
      <c r="AA21" s="89"/>
      <c r="AB21" s="88"/>
      <c r="AC21" s="88"/>
      <c r="AL21" s="133">
        <v>51026</v>
      </c>
      <c r="AM21" s="134" t="s">
        <v>615</v>
      </c>
      <c r="AN21" s="135">
        <v>0.01</v>
      </c>
      <c r="AO21" s="136"/>
      <c r="AP21" s="135"/>
      <c r="AQ21" s="135"/>
      <c r="AR21" s="135"/>
      <c r="AS21" s="135"/>
      <c r="AT21" s="135"/>
      <c r="AU21" s="135"/>
      <c r="AV21" s="135"/>
      <c r="AW21" s="135"/>
      <c r="AX21" s="135"/>
      <c r="AY21" s="135"/>
      <c r="AZ21" s="135"/>
      <c r="BA21" s="135"/>
      <c r="BB21" s="135"/>
      <c r="BC21" s="135"/>
      <c r="BD21" s="118"/>
      <c r="BE21" s="150">
        <v>51026</v>
      </c>
      <c r="BF21" s="151" t="s">
        <v>615</v>
      </c>
      <c r="BG21" s="141"/>
      <c r="BH21" s="135"/>
      <c r="BI21" s="135"/>
      <c r="BJ21" s="135"/>
      <c r="BK21" s="135"/>
      <c r="BL21" s="135"/>
      <c r="BM21" s="135"/>
      <c r="BN21" s="135"/>
      <c r="BO21" s="135"/>
      <c r="BP21" s="135"/>
      <c r="BQ21" s="135"/>
      <c r="BR21" s="118"/>
      <c r="BS21" s="150">
        <v>51026</v>
      </c>
      <c r="BT21" s="151" t="s">
        <v>615</v>
      </c>
      <c r="BU21" s="181"/>
      <c r="BV21" s="181"/>
      <c r="BW21" s="181"/>
      <c r="BX21" s="181"/>
      <c r="BY21" s="181"/>
      <c r="BZ21" s="181"/>
      <c r="CA21" s="181"/>
      <c r="CB21" s="141"/>
      <c r="CC21" s="135"/>
      <c r="CD21" s="135"/>
      <c r="CE21" s="135"/>
      <c r="CF21" s="135"/>
      <c r="CG21" s="135"/>
      <c r="CH21" s="135"/>
      <c r="CI21" s="135"/>
      <c r="CJ21" s="135"/>
      <c r="CK21" s="135"/>
      <c r="CL21" s="135"/>
      <c r="CM21" s="135"/>
      <c r="CN21" s="135"/>
      <c r="CO21" s="135"/>
      <c r="CP21" s="135"/>
      <c r="CQ21" s="135"/>
    </row>
    <row r="22" spans="1:95" ht="48" customHeight="1" thickTop="1" thickBot="1" x14ac:dyDescent="0.3">
      <c r="A22" s="30">
        <v>10036</v>
      </c>
      <c r="B22" s="48" t="s">
        <v>199</v>
      </c>
      <c r="C22" s="31"/>
      <c r="D22" s="32">
        <v>9.9</v>
      </c>
      <c r="E22" s="33">
        <v>1</v>
      </c>
      <c r="F22" s="34" t="s">
        <v>0</v>
      </c>
      <c r="G22" s="47" t="s">
        <v>1515</v>
      </c>
      <c r="H22" s="4"/>
      <c r="I22" s="4"/>
      <c r="Q22" s="159" t="s">
        <v>111</v>
      </c>
      <c r="R22" s="159" t="s">
        <v>151</v>
      </c>
      <c r="S22" s="159"/>
      <c r="T22" s="159"/>
      <c r="U22" s="159"/>
      <c r="V22" s="159"/>
      <c r="W22" s="159"/>
      <c r="X22" s="160">
        <v>1.1000000000000001</v>
      </c>
      <c r="Y22" s="89">
        <v>2.4E-2</v>
      </c>
      <c r="Z22" s="164" t="s">
        <v>3105</v>
      </c>
      <c r="AA22" s="89"/>
      <c r="AB22" s="88"/>
      <c r="AC22" s="88"/>
      <c r="AL22" s="130">
        <v>51028</v>
      </c>
      <c r="AM22" s="137" t="s">
        <v>617</v>
      </c>
      <c r="AN22" s="131">
        <v>0.01</v>
      </c>
      <c r="AO22" s="132"/>
      <c r="AP22" s="131"/>
      <c r="AQ22" s="131"/>
      <c r="AR22" s="131"/>
      <c r="AS22" s="131"/>
      <c r="AT22" s="131"/>
      <c r="AU22" s="131"/>
      <c r="AV22" s="131"/>
      <c r="AW22" s="131"/>
      <c r="AX22" s="131"/>
      <c r="AY22" s="131"/>
      <c r="AZ22" s="131"/>
      <c r="BA22" s="131"/>
      <c r="BB22" s="131"/>
      <c r="BC22" s="131"/>
      <c r="BD22" s="118"/>
      <c r="BE22" s="152">
        <v>51028</v>
      </c>
      <c r="BF22" s="153" t="s">
        <v>617</v>
      </c>
      <c r="BG22" s="140"/>
      <c r="BH22" s="131"/>
      <c r="BI22" s="131"/>
      <c r="BJ22" s="131"/>
      <c r="BK22" s="131"/>
      <c r="BL22" s="131"/>
      <c r="BM22" s="131"/>
      <c r="BN22" s="131"/>
      <c r="BO22" s="131"/>
      <c r="BP22" s="131"/>
      <c r="BQ22" s="131"/>
      <c r="BR22" s="118"/>
      <c r="BS22" s="152">
        <v>51028</v>
      </c>
      <c r="BT22" s="153" t="s">
        <v>617</v>
      </c>
      <c r="BU22" s="182"/>
      <c r="BV22" s="182"/>
      <c r="BW22" s="182"/>
      <c r="BX22" s="182"/>
      <c r="BY22" s="182"/>
      <c r="BZ22" s="182"/>
      <c r="CA22" s="182"/>
      <c r="CB22" s="140"/>
      <c r="CC22" s="131"/>
      <c r="CD22" s="131"/>
      <c r="CE22" s="131"/>
      <c r="CF22" s="131"/>
      <c r="CG22" s="131"/>
      <c r="CH22" s="131"/>
      <c r="CI22" s="131"/>
      <c r="CJ22" s="131"/>
      <c r="CK22" s="131"/>
      <c r="CL22" s="131"/>
      <c r="CM22" s="131"/>
      <c r="CN22" s="131"/>
      <c r="CO22" s="131"/>
      <c r="CP22" s="131"/>
      <c r="CQ22" s="131"/>
    </row>
    <row r="23" spans="1:95" ht="48" customHeight="1" thickTop="1" thickBot="1" x14ac:dyDescent="0.3">
      <c r="A23" s="30">
        <v>10037</v>
      </c>
      <c r="B23" s="48" t="s">
        <v>29</v>
      </c>
      <c r="C23" s="31"/>
      <c r="D23" s="32">
        <v>9.9</v>
      </c>
      <c r="E23" s="33">
        <v>1</v>
      </c>
      <c r="F23" s="34" t="s">
        <v>0</v>
      </c>
      <c r="G23" s="47" t="s">
        <v>1516</v>
      </c>
      <c r="H23" s="4"/>
      <c r="I23" s="4"/>
      <c r="Q23" s="159" t="s">
        <v>112</v>
      </c>
      <c r="R23" s="159" t="s">
        <v>153</v>
      </c>
      <c r="S23" s="159"/>
      <c r="T23" s="159"/>
      <c r="U23" s="159"/>
      <c r="V23" s="159"/>
      <c r="W23" s="159"/>
      <c r="X23" s="160">
        <v>1.1499999999999999</v>
      </c>
      <c r="Y23" s="89">
        <v>2.5000000000000001E-2</v>
      </c>
      <c r="Z23" s="164" t="s">
        <v>3106</v>
      </c>
      <c r="AA23" s="89"/>
      <c r="AB23" s="88"/>
      <c r="AC23" s="88"/>
      <c r="AL23" s="133">
        <v>51027</v>
      </c>
      <c r="AM23" s="134" t="s">
        <v>616</v>
      </c>
      <c r="AN23" s="135">
        <v>0.01</v>
      </c>
      <c r="AO23" s="136"/>
      <c r="AP23" s="135"/>
      <c r="AQ23" s="135"/>
      <c r="AR23" s="135"/>
      <c r="AS23" s="135"/>
      <c r="AT23" s="135"/>
      <c r="AU23" s="135"/>
      <c r="AV23" s="135"/>
      <c r="AW23" s="135"/>
      <c r="AX23" s="135"/>
      <c r="AY23" s="135"/>
      <c r="AZ23" s="135"/>
      <c r="BA23" s="135"/>
      <c r="BB23" s="135"/>
      <c r="BC23" s="135"/>
      <c r="BD23" s="118"/>
      <c r="BE23" s="150">
        <v>51027</v>
      </c>
      <c r="BF23" s="151" t="s">
        <v>616</v>
      </c>
      <c r="BG23" s="141"/>
      <c r="BH23" s="135"/>
      <c r="BI23" s="135"/>
      <c r="BJ23" s="135"/>
      <c r="BK23" s="135"/>
      <c r="BL23" s="135"/>
      <c r="BM23" s="135"/>
      <c r="BN23" s="135"/>
      <c r="BO23" s="135"/>
      <c r="BP23" s="135"/>
      <c r="BQ23" s="135"/>
      <c r="BR23" s="118"/>
      <c r="BS23" s="150">
        <v>51027</v>
      </c>
      <c r="BT23" s="151" t="s">
        <v>616</v>
      </c>
      <c r="BU23" s="181"/>
      <c r="BV23" s="181"/>
      <c r="BW23" s="181"/>
      <c r="BX23" s="181"/>
      <c r="BY23" s="181"/>
      <c r="BZ23" s="181"/>
      <c r="CA23" s="181"/>
      <c r="CB23" s="141"/>
      <c r="CC23" s="135"/>
      <c r="CD23" s="135"/>
      <c r="CE23" s="135"/>
      <c r="CF23" s="135"/>
      <c r="CG23" s="135"/>
      <c r="CH23" s="135"/>
      <c r="CI23" s="135"/>
      <c r="CJ23" s="135"/>
      <c r="CK23" s="135"/>
      <c r="CL23" s="135"/>
      <c r="CM23" s="135"/>
      <c r="CN23" s="135"/>
      <c r="CO23" s="135"/>
      <c r="CP23" s="135"/>
      <c r="CQ23" s="135"/>
    </row>
    <row r="24" spans="1:95" ht="48" customHeight="1" thickTop="1" thickBot="1" x14ac:dyDescent="0.3">
      <c r="A24" s="30">
        <v>10039</v>
      </c>
      <c r="B24" s="49" t="s">
        <v>200</v>
      </c>
      <c r="C24" s="35"/>
      <c r="D24" s="36">
        <v>17.2</v>
      </c>
      <c r="E24" s="37">
        <v>1</v>
      </c>
      <c r="F24" s="38" t="s">
        <v>0</v>
      </c>
      <c r="G24" s="47" t="s">
        <v>1517</v>
      </c>
      <c r="H24" s="4"/>
      <c r="I24" s="4"/>
      <c r="Q24" s="159" t="s">
        <v>113</v>
      </c>
      <c r="R24" s="159"/>
      <c r="S24" s="159"/>
      <c r="T24" s="159"/>
      <c r="U24" s="159"/>
      <c r="V24" s="159"/>
      <c r="W24" s="159"/>
      <c r="X24" s="160">
        <v>1.2</v>
      </c>
      <c r="Y24" s="89">
        <v>2.5999999999999999E-2</v>
      </c>
      <c r="Z24" s="165" t="s">
        <v>3114</v>
      </c>
      <c r="AA24" s="89"/>
      <c r="AB24" s="88"/>
      <c r="AC24" s="88"/>
      <c r="AL24" s="130">
        <v>51010</v>
      </c>
      <c r="AM24" s="137" t="s">
        <v>605</v>
      </c>
      <c r="AN24" s="131">
        <v>0.03</v>
      </c>
      <c r="AO24" s="132"/>
      <c r="AP24" s="131">
        <v>0.02</v>
      </c>
      <c r="AQ24" s="131">
        <v>1.4999999999999999E-2</v>
      </c>
      <c r="AR24" s="131">
        <v>1.2E-2</v>
      </c>
      <c r="AS24" s="131"/>
      <c r="AT24" s="131"/>
      <c r="AU24" s="131"/>
      <c r="AV24" s="131"/>
      <c r="AW24" s="131"/>
      <c r="AX24" s="131"/>
      <c r="AY24" s="131"/>
      <c r="AZ24" s="131"/>
      <c r="BA24" s="131"/>
      <c r="BB24" s="131"/>
      <c r="BC24" s="131"/>
      <c r="BD24" s="118"/>
      <c r="BE24" s="152">
        <v>51010</v>
      </c>
      <c r="BF24" s="153" t="s">
        <v>605</v>
      </c>
      <c r="BG24" s="140"/>
      <c r="BH24" s="131"/>
      <c r="BI24" s="131"/>
      <c r="BJ24" s="131"/>
      <c r="BK24" s="131"/>
      <c r="BL24" s="131"/>
      <c r="BM24" s="131"/>
      <c r="BN24" s="131"/>
      <c r="BO24" s="131"/>
      <c r="BP24" s="131"/>
      <c r="BQ24" s="131"/>
      <c r="BR24" s="118"/>
      <c r="BS24" s="152">
        <v>51010</v>
      </c>
      <c r="BT24" s="153" t="s">
        <v>605</v>
      </c>
      <c r="BU24" s="182"/>
      <c r="BV24" s="182"/>
      <c r="BW24" s="182"/>
      <c r="BX24" s="182"/>
      <c r="BY24" s="182"/>
      <c r="BZ24" s="182"/>
      <c r="CA24" s="182"/>
      <c r="CB24" s="140"/>
      <c r="CC24" s="131"/>
      <c r="CD24" s="131"/>
      <c r="CE24" s="131"/>
      <c r="CF24" s="131"/>
      <c r="CG24" s="131"/>
      <c r="CH24" s="131"/>
      <c r="CI24" s="131"/>
      <c r="CJ24" s="131"/>
      <c r="CK24" s="131"/>
      <c r="CL24" s="131"/>
      <c r="CM24" s="131"/>
      <c r="CN24" s="131"/>
      <c r="CO24" s="131"/>
      <c r="CP24" s="131"/>
      <c r="CQ24" s="131"/>
    </row>
    <row r="25" spans="1:95" ht="48" customHeight="1" thickTop="1" thickBot="1" x14ac:dyDescent="0.3">
      <c r="A25" s="30">
        <v>10040</v>
      </c>
      <c r="B25" s="49" t="s">
        <v>201</v>
      </c>
      <c r="C25" s="35">
        <v>3.0000000000000001E-3</v>
      </c>
      <c r="D25" s="36">
        <v>10.65</v>
      </c>
      <c r="E25" s="37">
        <v>1</v>
      </c>
      <c r="F25" s="38" t="s">
        <v>0</v>
      </c>
      <c r="G25" s="47" t="s">
        <v>1518</v>
      </c>
      <c r="H25" s="4"/>
      <c r="I25" s="4"/>
      <c r="Q25" s="159" t="s">
        <v>114</v>
      </c>
      <c r="R25" s="159"/>
      <c r="S25" s="159"/>
      <c r="T25" s="159"/>
      <c r="U25" s="159"/>
      <c r="V25" s="159"/>
      <c r="W25" s="159"/>
      <c r="X25" s="160">
        <v>1.25</v>
      </c>
      <c r="Y25" s="89">
        <v>2.7E-2</v>
      </c>
      <c r="Z25" s="165" t="s">
        <v>3107</v>
      </c>
      <c r="AA25" s="89"/>
      <c r="AB25" s="88"/>
      <c r="AC25" s="88"/>
      <c r="AL25" s="133">
        <v>11069</v>
      </c>
      <c r="AM25" s="134" t="s">
        <v>1491</v>
      </c>
      <c r="AN25" s="135">
        <v>0.01</v>
      </c>
      <c r="AO25" s="136"/>
      <c r="AP25" s="135"/>
      <c r="AQ25" s="135"/>
      <c r="AR25" s="135"/>
      <c r="AS25" s="135"/>
      <c r="AT25" s="135"/>
      <c r="AU25" s="135"/>
      <c r="AV25" s="135"/>
      <c r="AW25" s="135"/>
      <c r="AX25" s="135"/>
      <c r="AY25" s="135"/>
      <c r="AZ25" s="135"/>
      <c r="BA25" s="135"/>
      <c r="BB25" s="135"/>
      <c r="BC25" s="135"/>
      <c r="BD25" s="59"/>
      <c r="BE25" s="154">
        <v>11069</v>
      </c>
      <c r="BF25" s="155" t="s">
        <v>1491</v>
      </c>
      <c r="BG25" s="141"/>
      <c r="BH25" s="135"/>
      <c r="BI25" s="135"/>
      <c r="BJ25" s="135"/>
      <c r="BK25" s="135"/>
      <c r="BL25" s="135"/>
      <c r="BM25" s="135"/>
      <c r="BN25" s="135"/>
      <c r="BO25" s="135"/>
      <c r="BP25" s="135"/>
      <c r="BQ25" s="135"/>
      <c r="BS25" s="154">
        <v>11069</v>
      </c>
      <c r="BT25" s="155" t="s">
        <v>1491</v>
      </c>
      <c r="BU25" s="181"/>
      <c r="BV25" s="181"/>
      <c r="BW25" s="181"/>
      <c r="BX25" s="181"/>
      <c r="BY25" s="181"/>
      <c r="BZ25" s="181"/>
      <c r="CA25" s="181"/>
      <c r="CB25" s="141"/>
      <c r="CC25" s="135"/>
      <c r="CD25" s="135"/>
      <c r="CE25" s="135"/>
      <c r="CF25" s="135"/>
      <c r="CG25" s="135"/>
      <c r="CH25" s="135"/>
      <c r="CI25" s="135"/>
      <c r="CJ25" s="135"/>
      <c r="CK25" s="135"/>
      <c r="CL25" s="135"/>
      <c r="CM25" s="135"/>
      <c r="CN25" s="135"/>
      <c r="CO25" s="135"/>
      <c r="CP25" s="135"/>
      <c r="CQ25" s="135"/>
    </row>
    <row r="26" spans="1:95" ht="48" customHeight="1" thickTop="1" thickBot="1" x14ac:dyDescent="0.3">
      <c r="A26" s="30">
        <v>10041</v>
      </c>
      <c r="B26" s="48" t="s">
        <v>27</v>
      </c>
      <c r="C26" s="31"/>
      <c r="D26" s="32">
        <v>7.9</v>
      </c>
      <c r="E26" s="33">
        <v>1</v>
      </c>
      <c r="F26" s="34" t="s">
        <v>0</v>
      </c>
      <c r="G26" s="47" t="s">
        <v>1519</v>
      </c>
      <c r="H26" s="4"/>
      <c r="I26" s="4"/>
      <c r="Q26" s="159" t="s">
        <v>115</v>
      </c>
      <c r="R26" s="159"/>
      <c r="S26" s="159"/>
      <c r="T26" s="159"/>
      <c r="U26" s="159"/>
      <c r="V26" s="159"/>
      <c r="W26" s="159"/>
      <c r="X26" s="160">
        <v>1.3</v>
      </c>
      <c r="Y26" s="89">
        <v>2.8000000000000001E-2</v>
      </c>
      <c r="Z26" s="165" t="s">
        <v>3108</v>
      </c>
      <c r="AA26" s="89"/>
      <c r="AB26" s="88"/>
      <c r="AC26" s="88"/>
      <c r="BC26" s="1"/>
      <c r="BD26" s="118"/>
      <c r="BO26" s="1"/>
      <c r="BP26" s="59"/>
      <c r="BR26" s="142"/>
    </row>
    <row r="27" spans="1:95" ht="48" customHeight="1" thickTop="1" thickBot="1" x14ac:dyDescent="0.3">
      <c r="A27" s="30">
        <v>10042</v>
      </c>
      <c r="B27" s="48" t="s">
        <v>26</v>
      </c>
      <c r="C27" s="31">
        <v>0.98670000000000002</v>
      </c>
      <c r="D27" s="32">
        <v>6.9</v>
      </c>
      <c r="E27" s="33">
        <v>1</v>
      </c>
      <c r="F27" s="34" t="s">
        <v>0</v>
      </c>
      <c r="G27" s="47" t="s">
        <v>1520</v>
      </c>
      <c r="H27" s="4"/>
      <c r="I27" s="4"/>
      <c r="Q27" s="159" t="s">
        <v>116</v>
      </c>
      <c r="R27" s="159"/>
      <c r="S27" s="159"/>
      <c r="T27" s="159"/>
      <c r="U27" s="159"/>
      <c r="V27" s="159"/>
      <c r="W27" s="159"/>
      <c r="X27" s="160">
        <v>1.35</v>
      </c>
      <c r="Y27" s="89">
        <v>2.9000000000000001E-2</v>
      </c>
      <c r="Z27" s="164" t="s">
        <v>3109</v>
      </c>
      <c r="AA27" s="89"/>
      <c r="AB27" s="88"/>
      <c r="AC27" s="88"/>
      <c r="AL27" s="143"/>
      <c r="AM27" s="145"/>
      <c r="AN27" s="142"/>
      <c r="AO27" s="142"/>
      <c r="AP27" s="142"/>
      <c r="AQ27" s="142"/>
      <c r="AR27" s="142"/>
      <c r="AS27" s="142"/>
      <c r="AT27" s="142"/>
      <c r="AU27" s="142"/>
      <c r="AV27" s="142"/>
      <c r="AW27" s="142"/>
      <c r="AX27" s="142"/>
      <c r="AY27" s="142"/>
      <c r="AZ27" s="142"/>
      <c r="BA27" s="142"/>
      <c r="BB27" s="142"/>
      <c r="BC27" s="142"/>
      <c r="BD27" s="59"/>
      <c r="BE27" s="142"/>
      <c r="BF27" s="142"/>
      <c r="BG27" s="142"/>
      <c r="BH27" s="142"/>
      <c r="BI27" s="142"/>
      <c r="BJ27" s="142"/>
      <c r="BK27" s="142"/>
      <c r="BL27" s="142"/>
      <c r="BM27" s="142"/>
      <c r="BN27" s="142"/>
      <c r="BO27" s="142"/>
      <c r="BP27" s="118"/>
      <c r="BQ27" s="142"/>
      <c r="BS27" s="142"/>
      <c r="BT27" s="142"/>
      <c r="BU27" s="142"/>
      <c r="BV27" s="142"/>
      <c r="BW27" s="142"/>
      <c r="BX27" s="142"/>
      <c r="BY27" s="142"/>
      <c r="BZ27" s="142"/>
      <c r="CA27" s="142"/>
      <c r="CB27" s="142"/>
      <c r="CC27" s="142"/>
      <c r="CD27" s="144"/>
      <c r="CE27" s="144"/>
      <c r="CF27" s="144"/>
      <c r="CG27" s="144"/>
      <c r="CH27" s="144"/>
      <c r="CI27" s="144"/>
      <c r="CJ27" s="144"/>
      <c r="CK27" s="144"/>
      <c r="CL27" s="144"/>
      <c r="CM27" s="144"/>
    </row>
    <row r="28" spans="1:95" ht="48" customHeight="1" thickTop="1" thickBot="1" x14ac:dyDescent="0.3">
      <c r="A28" s="30">
        <v>10043</v>
      </c>
      <c r="B28" s="48" t="s">
        <v>202</v>
      </c>
      <c r="C28" s="31"/>
      <c r="D28" s="32">
        <v>9.9</v>
      </c>
      <c r="E28" s="33">
        <v>1</v>
      </c>
      <c r="F28" s="34" t="s">
        <v>0</v>
      </c>
      <c r="G28" s="47" t="s">
        <v>1521</v>
      </c>
      <c r="H28" s="4"/>
      <c r="I28" s="4"/>
      <c r="Q28" s="159" t="s">
        <v>132</v>
      </c>
      <c r="R28" s="159"/>
      <c r="S28" s="159"/>
      <c r="T28" s="159"/>
      <c r="U28" s="159"/>
      <c r="V28" s="159"/>
      <c r="W28" s="159"/>
      <c r="X28" s="160">
        <v>1.4</v>
      </c>
      <c r="Y28" s="89">
        <v>0.03</v>
      </c>
      <c r="Z28" s="164"/>
      <c r="AA28" s="89"/>
      <c r="AB28" s="88"/>
      <c r="AC28" s="88"/>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59"/>
      <c r="R29" s="159"/>
      <c r="S29" s="159"/>
      <c r="T29" s="159"/>
      <c r="U29" s="159"/>
      <c r="V29" s="159"/>
      <c r="W29" s="159"/>
      <c r="X29" s="160">
        <v>1.45</v>
      </c>
      <c r="Y29" s="89">
        <v>3.1E-2</v>
      </c>
      <c r="Z29" s="164"/>
      <c r="AA29" s="89"/>
      <c r="AB29" s="88"/>
      <c r="AC29" s="88"/>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59" t="s">
        <v>129</v>
      </c>
      <c r="R30" s="159"/>
      <c r="S30" s="159"/>
      <c r="T30" s="159"/>
      <c r="U30" s="159"/>
      <c r="V30" s="159"/>
      <c r="W30" s="159"/>
      <c r="X30" s="160">
        <v>1.5</v>
      </c>
      <c r="Y30" s="89">
        <v>3.2000000000000001E-2</v>
      </c>
      <c r="Z30" s="164"/>
      <c r="AA30" s="89"/>
      <c r="AB30" s="88"/>
      <c r="AC30" s="88"/>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59" t="s">
        <v>128</v>
      </c>
      <c r="R31" s="159"/>
      <c r="S31" s="159"/>
      <c r="T31" s="159"/>
      <c r="U31" s="159"/>
      <c r="V31" s="159"/>
      <c r="W31" s="159"/>
      <c r="X31" s="160"/>
      <c r="Y31" s="89">
        <v>3.3000000000000002E-2</v>
      </c>
      <c r="Z31" s="165"/>
      <c r="AA31" s="89"/>
      <c r="AB31" s="88"/>
      <c r="AC31" s="88"/>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59" t="s">
        <v>117</v>
      </c>
      <c r="R32" s="159"/>
      <c r="S32" s="159"/>
      <c r="T32" s="159"/>
      <c r="U32" s="159"/>
      <c r="V32" s="159"/>
      <c r="W32" s="159"/>
      <c r="X32" s="160"/>
      <c r="Y32" s="89">
        <v>3.4000000000000002E-2</v>
      </c>
      <c r="Z32" s="165"/>
      <c r="AA32" s="89"/>
      <c r="AB32" s="88"/>
      <c r="AC32" s="88"/>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59" t="s">
        <v>118</v>
      </c>
      <c r="R33" s="159"/>
      <c r="S33" s="159"/>
      <c r="T33" s="159"/>
      <c r="U33" s="159"/>
      <c r="V33" s="159"/>
      <c r="W33" s="159"/>
      <c r="X33" s="160"/>
      <c r="Y33" s="89">
        <v>3.5000000000000003E-2</v>
      </c>
      <c r="Z33" s="165"/>
      <c r="AA33" s="89"/>
      <c r="AB33" s="88"/>
      <c r="AC33" s="88"/>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59" t="s">
        <v>119</v>
      </c>
      <c r="R34" s="159"/>
      <c r="S34" s="159"/>
      <c r="T34" s="159"/>
      <c r="U34" s="159"/>
      <c r="V34" s="159"/>
      <c r="W34" s="159"/>
      <c r="X34" s="160"/>
      <c r="Y34" s="89">
        <v>3.5999999999999997E-2</v>
      </c>
      <c r="Z34" s="165"/>
      <c r="AA34" s="89"/>
      <c r="AB34" s="88"/>
      <c r="AC34" s="88"/>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59" t="s">
        <v>120</v>
      </c>
      <c r="R35" s="159"/>
      <c r="S35" s="159"/>
      <c r="T35" s="159"/>
      <c r="U35" s="159"/>
      <c r="V35" s="159"/>
      <c r="W35" s="159"/>
      <c r="X35" s="160"/>
      <c r="Y35" s="89">
        <v>3.6999999999999998E-2</v>
      </c>
      <c r="Z35" s="165"/>
      <c r="AA35" s="89"/>
      <c r="AB35" s="88"/>
      <c r="AC35" s="88"/>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59" t="s">
        <v>121</v>
      </c>
      <c r="R36" s="159"/>
      <c r="S36" s="159"/>
      <c r="T36" s="159"/>
      <c r="U36" s="159"/>
      <c r="V36" s="159"/>
      <c r="W36" s="159"/>
      <c r="X36" s="160"/>
      <c r="Y36" s="89">
        <v>3.7999999999999999E-2</v>
      </c>
      <c r="Z36" s="165"/>
      <c r="AA36" s="89"/>
      <c r="AB36" s="88"/>
      <c r="AC36" s="88"/>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59" t="s">
        <v>122</v>
      </c>
      <c r="R37" s="159"/>
      <c r="S37" s="159"/>
      <c r="T37" s="159"/>
      <c r="U37" s="159"/>
      <c r="V37" s="159"/>
      <c r="W37" s="159"/>
      <c r="X37" s="160"/>
      <c r="Y37" s="89">
        <v>3.9E-2</v>
      </c>
      <c r="Z37" s="165"/>
      <c r="AA37" s="89"/>
      <c r="AB37" s="88"/>
      <c r="AC37" s="88"/>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59"/>
      <c r="R38" s="159"/>
      <c r="S38" s="159"/>
      <c r="T38" s="159"/>
      <c r="U38" s="159"/>
      <c r="V38" s="159"/>
      <c r="W38" s="159"/>
      <c r="X38" s="160"/>
      <c r="Y38" s="89">
        <v>0.04</v>
      </c>
      <c r="Z38" s="165"/>
      <c r="AA38" s="89"/>
      <c r="AB38" s="88"/>
      <c r="AC38" s="88"/>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59" t="s">
        <v>135</v>
      </c>
      <c r="R39" s="159"/>
      <c r="S39" s="159"/>
      <c r="T39" s="159"/>
      <c r="U39" s="159"/>
      <c r="V39" s="159"/>
      <c r="W39" s="159"/>
      <c r="X39" s="160"/>
      <c r="Y39" s="162"/>
      <c r="Z39" s="165"/>
      <c r="AA39" s="89"/>
      <c r="AB39" s="88"/>
      <c r="AC39" s="88"/>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59" t="s">
        <v>136</v>
      </c>
      <c r="R40" s="159"/>
      <c r="S40" s="159"/>
      <c r="T40" s="159"/>
      <c r="U40" s="159"/>
      <c r="V40" s="159"/>
      <c r="W40" s="159"/>
      <c r="X40" s="160"/>
      <c r="Y40" s="162"/>
      <c r="Z40" s="165"/>
      <c r="AA40" s="89"/>
      <c r="AB40" s="88"/>
      <c r="AC40" s="88"/>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59" t="s">
        <v>137</v>
      </c>
      <c r="R41" s="159"/>
      <c r="S41" s="159"/>
      <c r="T41" s="159"/>
      <c r="U41" s="159"/>
      <c r="V41" s="159"/>
      <c r="W41" s="159"/>
      <c r="X41" s="160"/>
      <c r="Y41" s="162"/>
      <c r="Z41" s="165"/>
      <c r="AA41" s="89"/>
      <c r="AB41" s="88"/>
      <c r="AC41" s="88"/>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59" t="s">
        <v>138</v>
      </c>
      <c r="R42" s="159"/>
      <c r="S42" s="159"/>
      <c r="T42" s="159"/>
      <c r="U42" s="159"/>
      <c r="V42" s="159"/>
      <c r="W42" s="159"/>
      <c r="X42" s="160"/>
      <c r="Y42" s="162"/>
      <c r="Z42" s="165"/>
      <c r="AA42" s="89"/>
      <c r="AB42" s="88"/>
      <c r="AC42" s="88"/>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59" t="s">
        <v>139</v>
      </c>
      <c r="R43" s="159"/>
      <c r="S43" s="159"/>
      <c r="T43" s="159"/>
      <c r="U43" s="159"/>
      <c r="V43" s="159"/>
      <c r="W43" s="159"/>
      <c r="X43" s="160"/>
      <c r="Y43" s="162"/>
      <c r="Z43" s="165"/>
      <c r="AA43" s="89"/>
      <c r="AB43" s="88"/>
      <c r="AC43" s="88"/>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59" t="s">
        <v>140</v>
      </c>
      <c r="R44" s="159"/>
      <c r="S44" s="159"/>
      <c r="T44" s="159"/>
      <c r="U44" s="159"/>
      <c r="V44" s="159"/>
      <c r="W44" s="159"/>
      <c r="X44" s="160"/>
      <c r="Y44" s="162"/>
      <c r="Z44" s="165"/>
      <c r="AA44" s="89"/>
      <c r="AB44" s="88"/>
      <c r="AC44" s="88"/>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59" t="s">
        <v>141</v>
      </c>
      <c r="R45" s="159"/>
      <c r="S45" s="159"/>
      <c r="T45" s="159"/>
      <c r="U45" s="159"/>
      <c r="V45" s="159"/>
      <c r="W45" s="159"/>
      <c r="X45" s="160"/>
      <c r="Y45" s="162"/>
      <c r="Z45" s="165"/>
      <c r="AA45" s="89"/>
      <c r="AB45" s="88"/>
      <c r="AC45" s="88"/>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59"/>
      <c r="R46" s="159"/>
      <c r="S46" s="159"/>
      <c r="T46" s="159"/>
      <c r="U46" s="159"/>
      <c r="V46" s="159"/>
      <c r="W46" s="159"/>
      <c r="X46" s="160"/>
      <c r="Y46" s="162"/>
      <c r="Z46" s="165"/>
      <c r="AA46" s="89"/>
      <c r="AB46" s="88"/>
      <c r="AC46" s="88"/>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59" t="s">
        <v>154</v>
      </c>
      <c r="R47" s="159"/>
      <c r="S47" s="159"/>
      <c r="T47" s="159"/>
      <c r="U47" s="159"/>
      <c r="V47" s="159"/>
      <c r="W47" s="159"/>
      <c r="X47" s="160"/>
      <c r="Y47" s="162"/>
      <c r="Z47" s="165"/>
      <c r="AA47" s="89"/>
      <c r="AB47" s="88"/>
      <c r="AC47" s="88"/>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59" t="s">
        <v>123</v>
      </c>
      <c r="R48" s="159"/>
      <c r="S48" s="159"/>
      <c r="T48" s="159"/>
      <c r="U48" s="159"/>
      <c r="V48" s="159"/>
      <c r="W48" s="159"/>
      <c r="X48" s="160"/>
      <c r="Y48" s="162"/>
      <c r="Z48" s="165"/>
      <c r="AA48" s="89"/>
      <c r="AB48" s="88"/>
      <c r="AC48" s="88"/>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59" t="s">
        <v>124</v>
      </c>
      <c r="R49" s="159"/>
      <c r="S49" s="159"/>
      <c r="T49" s="159"/>
      <c r="U49" s="159"/>
      <c r="V49" s="159"/>
      <c r="W49" s="159"/>
      <c r="X49" s="160"/>
      <c r="Y49" s="162"/>
      <c r="Z49" s="165"/>
      <c r="AA49" s="89"/>
      <c r="AB49" s="88"/>
      <c r="AC49" s="88"/>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59" t="s">
        <v>130</v>
      </c>
      <c r="R50" s="159"/>
      <c r="S50" s="159"/>
      <c r="T50" s="159"/>
      <c r="U50" s="159"/>
      <c r="V50" s="159"/>
      <c r="W50" s="159"/>
      <c r="X50" s="160"/>
      <c r="Y50" s="162"/>
      <c r="Z50" s="165"/>
      <c r="AA50" s="89"/>
      <c r="AB50" s="88"/>
      <c r="AC50" s="88"/>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59" t="s">
        <v>131</v>
      </c>
      <c r="R51" s="159"/>
      <c r="S51" s="159"/>
      <c r="T51" s="159"/>
      <c r="U51" s="159"/>
      <c r="V51" s="159"/>
      <c r="W51" s="159"/>
      <c r="X51" s="160"/>
      <c r="Y51" s="162"/>
      <c r="Z51" s="165"/>
      <c r="AA51" s="89"/>
      <c r="AB51" s="88"/>
      <c r="AC51" s="88"/>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59" t="s">
        <v>161</v>
      </c>
      <c r="R52" s="159"/>
      <c r="S52" s="159"/>
      <c r="T52" s="159"/>
      <c r="U52" s="159"/>
      <c r="V52" s="159"/>
      <c r="W52" s="159"/>
      <c r="X52" s="160"/>
      <c r="Y52" s="162"/>
      <c r="Z52" s="165"/>
      <c r="AA52" s="89"/>
      <c r="AB52" s="88"/>
      <c r="AC52" s="88"/>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59" t="s">
        <v>162</v>
      </c>
      <c r="R53" s="159"/>
      <c r="S53" s="159"/>
      <c r="T53" s="159"/>
      <c r="U53" s="159"/>
      <c r="V53" s="159"/>
      <c r="W53" s="159"/>
      <c r="X53" s="160"/>
      <c r="Y53" s="162"/>
      <c r="Z53" s="165"/>
      <c r="AA53" s="89"/>
      <c r="AB53" s="88"/>
      <c r="AC53" s="88"/>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59"/>
      <c r="R54" s="159"/>
      <c r="S54" s="159"/>
      <c r="T54" s="159"/>
      <c r="U54" s="159"/>
      <c r="V54" s="159"/>
      <c r="W54" s="159"/>
      <c r="X54" s="160"/>
      <c r="Y54" s="162"/>
      <c r="Z54" s="165"/>
      <c r="AA54" s="89"/>
      <c r="AB54" s="88"/>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59"/>
      <c r="R55" s="159"/>
      <c r="S55" s="159"/>
      <c r="T55" s="159"/>
      <c r="U55" s="159"/>
      <c r="V55" s="159"/>
      <c r="W55" s="159"/>
      <c r="X55" s="160"/>
      <c r="Y55" s="162"/>
      <c r="Z55" s="165"/>
      <c r="AA55" s="89"/>
      <c r="AB55" s="88"/>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3112</v>
      </c>
      <c r="C98" s="31">
        <v>8.3699999999999997E-2</v>
      </c>
      <c r="D98" s="32">
        <v>12.1</v>
      </c>
      <c r="E98" s="33">
        <v>1</v>
      </c>
      <c r="F98" s="34" t="s">
        <v>0</v>
      </c>
      <c r="G98" s="84" t="s">
        <v>3113</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18" t="s">
        <v>3176</v>
      </c>
      <c r="C161" s="167">
        <v>0.2424</v>
      </c>
      <c r="D161" s="288">
        <v>8.4</v>
      </c>
      <c r="E161" s="33">
        <v>1</v>
      </c>
      <c r="F161" s="34" t="s">
        <v>0</v>
      </c>
      <c r="G161" s="84" t="s">
        <v>3177</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18" t="s">
        <v>168</v>
      </c>
      <c r="C186" s="167">
        <v>0.29360000000000003</v>
      </c>
      <c r="D186" s="15">
        <v>9.4</v>
      </c>
      <c r="E186" s="220">
        <v>1</v>
      </c>
      <c r="F186" s="66" t="s">
        <v>0</v>
      </c>
      <c r="G186" s="52" t="s">
        <v>1673</v>
      </c>
      <c r="H186" s="4"/>
      <c r="I186" s="4"/>
    </row>
    <row r="187" spans="1:9" ht="48" customHeight="1" thickTop="1" thickBot="1" x14ac:dyDescent="0.25">
      <c r="A187" s="30">
        <v>11025</v>
      </c>
      <c r="B187" s="48" t="s">
        <v>3174</v>
      </c>
      <c r="C187" s="31">
        <v>0</v>
      </c>
      <c r="D187" s="32">
        <v>4</v>
      </c>
      <c r="E187" s="33">
        <v>1</v>
      </c>
      <c r="F187" s="34" t="s">
        <v>0</v>
      </c>
      <c r="G187" s="84" t="s">
        <v>3175</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3178</v>
      </c>
      <c r="C218" s="35"/>
      <c r="D218" s="36"/>
      <c r="E218" s="37">
        <v>1</v>
      </c>
      <c r="F218" s="38" t="s">
        <v>0</v>
      </c>
      <c r="G218" s="84" t="s">
        <v>3179</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3110</v>
      </c>
      <c r="C227" s="35"/>
      <c r="D227" s="36"/>
      <c r="E227" s="37">
        <v>1</v>
      </c>
      <c r="F227" s="38" t="s">
        <v>0</v>
      </c>
      <c r="G227" s="84" t="s">
        <v>3111</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67"/>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67">
        <v>0.3977</v>
      </c>
      <c r="D248" s="36">
        <v>7.85</v>
      </c>
      <c r="E248" s="37">
        <v>1</v>
      </c>
      <c r="F248" s="38" t="s">
        <v>0</v>
      </c>
      <c r="G248" s="47" t="s">
        <v>1726</v>
      </c>
      <c r="H248" s="4"/>
      <c r="I248" s="4"/>
    </row>
    <row r="249" spans="1:9" ht="48" customHeight="1" thickTop="1" thickBot="1" x14ac:dyDescent="0.25">
      <c r="A249" s="40">
        <v>11179</v>
      </c>
      <c r="B249" s="49" t="s">
        <v>384</v>
      </c>
      <c r="C249" s="167"/>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67">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67"/>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67"/>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08" t="s">
        <v>546</v>
      </c>
      <c r="C433" s="167">
        <v>2.5000000000000001E-3</v>
      </c>
      <c r="D433" s="209">
        <v>6.85</v>
      </c>
      <c r="E433" s="37">
        <v>1</v>
      </c>
      <c r="F433" s="38" t="s">
        <v>0</v>
      </c>
      <c r="G433" s="47" t="s">
        <v>1908</v>
      </c>
      <c r="H433" s="4"/>
    </row>
    <row r="434" spans="1:8" ht="19" thickTop="1" thickBot="1" x14ac:dyDescent="0.25">
      <c r="A434" s="40">
        <v>40088</v>
      </c>
      <c r="B434" s="208" t="s">
        <v>530</v>
      </c>
      <c r="C434" s="167"/>
      <c r="D434" s="209">
        <v>6.2</v>
      </c>
      <c r="E434" s="37">
        <v>1</v>
      </c>
      <c r="F434" s="38" t="s">
        <v>0</v>
      </c>
      <c r="G434" s="47" t="s">
        <v>1909</v>
      </c>
      <c r="H434" s="4"/>
    </row>
    <row r="435" spans="1:8" ht="19" thickTop="1" thickBot="1" x14ac:dyDescent="0.25">
      <c r="A435" s="40">
        <v>40090</v>
      </c>
      <c r="B435" s="208" t="s">
        <v>547</v>
      </c>
      <c r="C435" s="167"/>
      <c r="D435" s="209">
        <v>6.5</v>
      </c>
      <c r="E435" s="37">
        <v>1</v>
      </c>
      <c r="F435" s="38" t="s">
        <v>0</v>
      </c>
      <c r="G435" s="47" t="s">
        <v>1910</v>
      </c>
      <c r="H435" s="4"/>
    </row>
    <row r="436" spans="1:8" ht="19" thickTop="1" thickBot="1" x14ac:dyDescent="0.25">
      <c r="A436" s="40">
        <v>40095</v>
      </c>
      <c r="B436" s="208" t="s">
        <v>548</v>
      </c>
      <c r="C436" s="167"/>
      <c r="D436" s="209">
        <v>4.3</v>
      </c>
      <c r="E436" s="37">
        <v>1</v>
      </c>
      <c r="F436" s="38" t="s">
        <v>0</v>
      </c>
      <c r="G436" s="47" t="s">
        <v>1911</v>
      </c>
      <c r="H436" s="4"/>
    </row>
    <row r="437" spans="1:8" ht="19" thickTop="1" thickBot="1" x14ac:dyDescent="0.25">
      <c r="A437" s="40">
        <v>40096</v>
      </c>
      <c r="B437" s="208" t="s">
        <v>40</v>
      </c>
      <c r="C437" s="167"/>
      <c r="D437" s="209">
        <v>5.5</v>
      </c>
      <c r="E437" s="37">
        <v>1</v>
      </c>
      <c r="F437" s="38" t="s">
        <v>0</v>
      </c>
      <c r="G437" s="47" t="s">
        <v>1912</v>
      </c>
      <c r="H437" s="4"/>
    </row>
    <row r="438" spans="1:8" ht="19" thickTop="1" thickBot="1" x14ac:dyDescent="0.25">
      <c r="A438" s="40">
        <v>40097</v>
      </c>
      <c r="B438" s="208" t="s">
        <v>549</v>
      </c>
      <c r="C438" s="167">
        <v>2E-3</v>
      </c>
      <c r="D438" s="209">
        <v>7.2</v>
      </c>
      <c r="E438" s="37">
        <v>1</v>
      </c>
      <c r="F438" s="38" t="s">
        <v>0</v>
      </c>
      <c r="G438" s="47" t="s">
        <v>1913</v>
      </c>
      <c r="H438" s="4"/>
    </row>
    <row r="439" spans="1:8" ht="19" thickTop="1" thickBot="1" x14ac:dyDescent="0.25">
      <c r="A439" s="40">
        <v>40098</v>
      </c>
      <c r="B439" s="208" t="s">
        <v>550</v>
      </c>
      <c r="C439" s="167"/>
      <c r="D439" s="209">
        <v>7</v>
      </c>
      <c r="E439" s="37">
        <v>1</v>
      </c>
      <c r="F439" s="38" t="s">
        <v>0</v>
      </c>
      <c r="G439" s="47" t="s">
        <v>1914</v>
      </c>
      <c r="H439" s="4"/>
    </row>
    <row r="440" spans="1:8" ht="19" thickTop="1" thickBot="1" x14ac:dyDescent="0.25">
      <c r="A440" s="40">
        <v>40100</v>
      </c>
      <c r="B440" s="208" t="s">
        <v>551</v>
      </c>
      <c r="C440" s="167"/>
      <c r="D440" s="209">
        <v>8.4</v>
      </c>
      <c r="E440" s="37">
        <v>1</v>
      </c>
      <c r="F440" s="38" t="s">
        <v>0</v>
      </c>
      <c r="G440" s="47" t="s">
        <v>1915</v>
      </c>
      <c r="H440" s="4"/>
    </row>
    <row r="441" spans="1:8" ht="19" thickTop="1" thickBot="1" x14ac:dyDescent="0.25">
      <c r="A441" s="40">
        <v>40104</v>
      </c>
      <c r="B441" s="208" t="s">
        <v>552</v>
      </c>
      <c r="C441" s="167"/>
      <c r="D441" s="209">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3172</v>
      </c>
      <c r="C587" s="35">
        <v>0.4143</v>
      </c>
      <c r="D587" s="36">
        <v>8.4</v>
      </c>
      <c r="E587" s="37">
        <v>1</v>
      </c>
      <c r="F587" s="38" t="s">
        <v>0</v>
      </c>
      <c r="G587" s="84" t="s">
        <v>3170</v>
      </c>
      <c r="H587" s="4"/>
    </row>
    <row r="588" spans="1:8" ht="19" thickTop="1" thickBot="1" x14ac:dyDescent="0.25">
      <c r="A588" s="40">
        <v>51032</v>
      </c>
      <c r="B588" s="49" t="s">
        <v>3173</v>
      </c>
      <c r="C588" s="35">
        <v>0.34260000000000002</v>
      </c>
      <c r="D588" s="36">
        <v>8.4</v>
      </c>
      <c r="E588" s="37">
        <v>1</v>
      </c>
      <c r="F588" s="38" t="s">
        <v>0</v>
      </c>
      <c r="G588" s="84" t="s">
        <v>3171</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4" t="s">
        <v>3146</v>
      </c>
      <c r="H673" s="4"/>
      <c r="X673" s="156"/>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3019</v>
      </c>
      <c r="C851" s="35"/>
      <c r="D851" s="36"/>
      <c r="E851" s="37"/>
      <c r="F851" s="38"/>
      <c r="G851" s="84" t="s">
        <v>3018</v>
      </c>
      <c r="H851" s="4"/>
    </row>
    <row r="852" spans="1:8" ht="18" thickTop="1" thickBot="1" x14ac:dyDescent="0.25">
      <c r="A852" s="40">
        <v>64100</v>
      </c>
      <c r="B852" s="49" t="s">
        <v>3041</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22"/>
      <c r="H1548" s="4"/>
    </row>
    <row r="1549" spans="1:8" ht="27" thickTop="1" x14ac:dyDescent="0.3">
      <c r="A1549" s="22"/>
      <c r="B1549" s="23"/>
      <c r="C1549" s="24"/>
      <c r="D1549" s="207"/>
      <c r="E1549" s="23"/>
      <c r="F1549" s="23"/>
      <c r="G1549" s="22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2023-02-09T08:57:16Z</dcterms:modified>
</cp:coreProperties>
</file>